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2.5" sheetId="12" r:id="rId12"/>
    <sheet name="4.5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6.1" sheetId="20" r:id="rId20"/>
    <sheet name="6.2" sheetId="21" r:id="rId21"/>
    <sheet name="6.3" sheetId="22" r:id="rId22"/>
    <sheet name="6.4" sheetId="23" r:id="rId23"/>
    <sheet name="6.5" sheetId="24" r:id="rId24"/>
    <sheet name="Итоговая оценка" sheetId="25" r:id="rId25"/>
  </sheets>
  <definedNames>
    <definedName name="_xlnm.Print_Area" localSheetId="5">'2.1'!$B$2:$G$40</definedName>
  </definedNames>
  <calcPr fullCalcOnLoad="1"/>
</workbook>
</file>

<file path=xl/sharedStrings.xml><?xml version="1.0" encoding="utf-8"?>
<sst xmlns="http://schemas.openxmlformats.org/spreadsheetml/2006/main" count="799" uniqueCount="226">
  <si>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</si>
  <si>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</si>
  <si>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</si>
  <si>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</si>
  <si>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</si>
  <si>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</si>
  <si>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</si>
  <si>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</si>
  <si>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</si>
  <si>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</si>
  <si>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Показатель</t>
  </si>
  <si>
    <t>Соответствует/не соответствует</t>
  </si>
  <si>
    <t>Значение</t>
  </si>
  <si>
    <t>Вес показателя</t>
  </si>
  <si>
    <t>Оценка</t>
  </si>
  <si>
    <t>Наименование поселения</t>
  </si>
  <si>
    <t>Г - объем доходов бюджета (утверждено)</t>
  </si>
  <si>
    <t>Д-объем безвозмездных поступлений в бюджет муниципального образования (утверждено)</t>
  </si>
  <si>
    <t>Отношение дефицита бюджета муниципального образования к утвержденному общему объему доходов бюджета муниципального   образования   без   учета утвержденного  объема 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</si>
  <si>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</si>
  <si>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А – объем муниципального долга муниципального образования</t>
  </si>
  <si>
    <t xml:space="preserve">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</si>
  <si>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>Р=А/(Б+В)</t>
  </si>
  <si>
    <t xml:space="preserve">Отношение расходов на обслуживание муниципального долга к расходам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</si>
  <si>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Р=А/(Б-В)</t>
  </si>
  <si>
    <t>А – объем расходов бюджета муниципального образования, направленный на обслуживание муниципального долга, за отчетный период</t>
  </si>
  <si>
    <t>Б – объем расходов бюджета муниципального образования</t>
  </si>
  <si>
    <t>В – объем расходов бюджета муниципального образования, произведенных за счет субвенций из краевого бюджета, за отчетный период;</t>
  </si>
  <si>
    <t>Р=А/Б</t>
  </si>
  <si>
    <t>А – объем расходов на содержание органов местного самоуправления муниципального образования в отчетном периоде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</si>
  <si>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</si>
  <si>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</si>
  <si>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>MAX/MIN</t>
  </si>
  <si>
    <t>Значение (снижение)         Mi =(ZMAKC-ZM0)/(ZMAKC-ZMИH )</t>
  </si>
  <si>
    <t xml:space="preserve">Отношение объема просроченной кредиторской задолженности бюджета муниципального образования к расходам бюджета </t>
  </si>
  <si>
    <t>Р=А/(В-Г)*100</t>
  </si>
  <si>
    <t>А – объем просроченной кредиторской задолженности по расходам бюджета муниципального образования</t>
  </si>
  <si>
    <t>В – объем расходов бюджета муниципального образования</t>
  </si>
  <si>
    <t>Г – объем расходов бюджета муниципального образования, осуществляемых за счет субвенций, предоставляемых из бюджетов бюджетной системы</t>
  </si>
  <si>
    <t xml:space="preserve">Динамика удельного веса дебиторской задолженности к общему объему расходов бюджета </t>
  </si>
  <si>
    <t xml:space="preserve">Р=(А/Б)/(В/Г), </t>
  </si>
  <si>
    <t>А – дебиторская задолженность бюджета муниципального образования на конец отчетного периода</t>
  </si>
  <si>
    <t>Б – общий объем расходов бюджета муниципального образования в отчетном периоде;</t>
  </si>
  <si>
    <t>В – дебиторская задолженность бюджета муниципального образования на конец года, предшествующего отчетному</t>
  </si>
  <si>
    <t>Г – общий объем расходов бюджета муниципального образования за год, предшествующий отчетному</t>
  </si>
  <si>
    <t>Значение (увеличение)         Mi=(ZM0-ZMИH)/(ZMAKC-ZMИH)</t>
  </si>
  <si>
    <t>Динамика недоимки по налоговым доходам, подлежащим зачислению в местный бюджет</t>
  </si>
  <si>
    <t>А – объем недоимки по налоговым доходам, подлежащим зачислению в местный бюджет, на начало отчетного периода</t>
  </si>
  <si>
    <t>Б – объем недоимки по налоговым доходам, подлежащим зачислению в местный бюджет, на конец отчетного периода</t>
  </si>
  <si>
    <t>Отношение фактического исполнения расходов бюджета муниципального образования к уточненным плановым показателям расходов муниципального образования</t>
  </si>
  <si>
    <t>А – кассовые расходы муниципального образования за отчетный период</t>
  </si>
  <si>
    <t>Б – уточненный план расходов муниципального образования на год;</t>
  </si>
  <si>
    <t>Удельный вес расходов бюджета муниципального образования, формируемых в рамках программ</t>
  </si>
  <si>
    <t>Р=(А-Б)/(В-С)*100</t>
  </si>
  <si>
    <t>Б – объем расходов местного бюджета на реализацию программ, осуществляемых за счет субвенций, предоставляемых из бюджетов бюджетной системы Российской Федерации;</t>
  </si>
  <si>
    <t>С – объем расходов бюджета, осуществляемых за счет субвенций, предоставляемых из бюджетов бюджетной системы Российской Федерации</t>
  </si>
  <si>
    <t>Доля расходов местного бюджета на содержание органов местного самоуправления муниципального образования к общему объему расходов бюджета муниципального образования без переданных полномочий</t>
  </si>
  <si>
    <t xml:space="preserve">Р=А/Б*100 </t>
  </si>
  <si>
    <t>А – объем расходов местного бюджета на содержание органов местного самоуправления муниципального образования</t>
  </si>
  <si>
    <t>Б – расходы бюджета муниципального образования без переданных полномочий</t>
  </si>
  <si>
    <t>А – объем доходов бюджета муниципального образования за отчетный период</t>
  </si>
  <si>
    <t>Отклонение кассовых расходов в 4 квартале от среднего объема кассовых расходов за 1-3 кварталы отчетного года (равномерность исполнения бюджета)</t>
  </si>
  <si>
    <t>Р=А4/(А3+А2+А1)/3)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</si>
  <si>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</si>
  <si>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</si>
  <si>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</si>
  <si>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</si>
  <si>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</si>
  <si>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</si>
  <si>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</si>
  <si>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</si>
  <si>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</si>
  <si>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Р=1-А/12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</si>
  <si>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</si>
  <si>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Интернет-адрес, на котором размещено решение о местном бюджете</t>
  </si>
  <si>
    <t>Свод показателей к оценке качества организации и осуществления бюджетного процесса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</si>
  <si>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</si>
  <si>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</si>
  <si>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</si>
  <si>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</si>
  <si>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</si>
  <si>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</si>
  <si>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</si>
  <si>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</si>
  <si>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</si>
  <si>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</si>
  <si>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</si>
  <si>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</si>
  <si>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</si>
  <si>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</si>
  <si>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</si>
  <si>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</si>
  <si>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</si>
  <si>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</si>
  <si>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6.1</t>
  </si>
  <si>
    <t>6.2</t>
  </si>
  <si>
    <t>7.1</t>
  </si>
  <si>
    <t>7.2</t>
  </si>
  <si>
    <t>7.3</t>
  </si>
  <si>
    <t>7.4</t>
  </si>
  <si>
    <t>Итого</t>
  </si>
  <si>
    <t>Рейтинг</t>
  </si>
  <si>
    <t>MAX</t>
  </si>
  <si>
    <t>MIN</t>
  </si>
  <si>
    <t>соответствует</t>
  </si>
  <si>
    <t>доходы</t>
  </si>
  <si>
    <t>А</t>
  </si>
  <si>
    <t>Б</t>
  </si>
  <si>
    <t>Б – утвержденный на отчетный год объем доходов бюджета муниципального образования (по состоянию на 1 января отчетного периода)</t>
  </si>
  <si>
    <t>МО</t>
  </si>
  <si>
    <t>1</t>
  </si>
  <si>
    <t>2</t>
  </si>
  <si>
    <t>4</t>
  </si>
  <si>
    <t>5</t>
  </si>
  <si>
    <t>А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отчетный период;</t>
  </si>
  <si>
    <t>Б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аналогичный период года, предшествующего отчетному;</t>
  </si>
  <si>
    <t xml:space="preserve">Динамика налоговых и неналоговых доходов доходов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</t>
  </si>
  <si>
    <t>Р=Б/А*100</t>
  </si>
  <si>
    <t xml:space="preserve">Отношение  дотации на выравнивание 
 бюджетной обеспеченности к общему объему налоговых и неналоговых доходов бюджета муниципального образования
</t>
  </si>
  <si>
    <t>Отношение  дотации на выравнивание 
 бюджетной обеспеченности к общему объему налоговых и неналоговых доходов бюджета муниципального образования</t>
  </si>
  <si>
    <t>Исполнение бюджета муниципального образования по доходам без учета безвозмездных поступлений  к первоначально утвержденному уровню</t>
  </si>
  <si>
    <t xml:space="preserve">Отношение и расходов на содержание органов местного самоуправления муниципального образования к установленному нормативу формирования данных расходов в отчетном периоде </t>
  </si>
  <si>
    <t>5.1</t>
  </si>
  <si>
    <t>5.2</t>
  </si>
  <si>
    <t>6.3</t>
  </si>
  <si>
    <t>6.4</t>
  </si>
  <si>
    <t>Объем полученной дотации</t>
  </si>
  <si>
    <t>Общий объем налоговых и неналоговых доходов</t>
  </si>
  <si>
    <t>объем расходов местного бюджета, осуществляемых за счет субвенций</t>
  </si>
  <si>
    <t>межбюджетных трансфертов в связи с передачей полномочий между органами местного самоуправления муниципальных районов и поселений</t>
  </si>
  <si>
    <t>обслуживание муниципального долга</t>
  </si>
  <si>
    <t>Б – объем доходов бюджета муниципального образования (Утверждено);</t>
  </si>
  <si>
    <t>В – объем безвозмездных поступлений в бюджет муниципального образования (Утверждено);</t>
  </si>
  <si>
    <t>А-размер дефицита бюджета  (факт)</t>
  </si>
  <si>
    <t>В-объем снижения остатков на счетах бюджета  (факт)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</si>
  <si>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</si>
  <si>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город</t>
  </si>
  <si>
    <t>ахт</t>
  </si>
  <si>
    <t>бор</t>
  </si>
  <si>
    <t>брин</t>
  </si>
  <si>
    <t>св</t>
  </si>
  <si>
    <t>ст</t>
  </si>
  <si>
    <t>Сумма</t>
  </si>
  <si>
    <t>новопокр</t>
  </si>
  <si>
    <t>ол</t>
  </si>
  <si>
    <t>пр</t>
  </si>
  <si>
    <t>среднеквадратическое отклонение</t>
  </si>
  <si>
    <t>Снижение финансовой зависимости местного бюджета от бюджетов других уровней бюджетной системы Российской Федерации</t>
  </si>
  <si>
    <t>Доля бюджетных инвестиций в общем объеме расходов местного бюджета</t>
  </si>
  <si>
    <t>А-объем расходов местного бюджета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за исключением расходов, производимых за счет межбюджетных трансфертов из бюджетов бюджетной системы Российской Федерации, на бюджетные инвестиции;</t>
  </si>
  <si>
    <t>Б – объем субсидий, предоставляемых местным бюджетам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</si>
  <si>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В – общий объем расходов местного бюджета</t>
  </si>
  <si>
    <t>Г – объем расходов местного бюджета, осуществляемых за счет субвенций, предоставляемых из бюджетов бюджетной системы Российской Федерации</t>
  </si>
  <si>
    <t>Р = (A + Б) / (B – Г) x 100</t>
  </si>
  <si>
    <t>6.5</t>
  </si>
  <si>
    <t>Б – объем межбюджетных трансфертов, поступивших в бюджет муниципального образования в отчетном периоде</t>
  </si>
  <si>
    <t xml:space="preserve">В - объем субвенций, поступивших в бюджет муниципального образования в отчетном периоде </t>
  </si>
  <si>
    <t>Г – объем доходов бюджета муниципального образования за год, предшествующий отчетному периоду</t>
  </si>
  <si>
    <t>Д – объем межбюджетных трансфертов, поступивших в бюджет муниципального образования за год, предшествующий отчетному периоду</t>
  </si>
  <si>
    <t>Е - объем субвенций, поступивших в бюджет муниципального образования за год, предшествующий отчетному периоду</t>
  </si>
  <si>
    <t>Р=(А-В)/(Г-Д)</t>
  </si>
  <si>
    <t xml:space="preserve">Р=А/(Б-В), 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</si>
  <si>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</si>
  <si>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А – объем муниципальных заимствований, привлеченных в отчетном периоде (утверждено)</t>
  </si>
  <si>
    <t>Б – сумма, направленная в отчетном периоде на финансирование дефицита бюджета муниципального образования (утверждено);</t>
  </si>
  <si>
    <t>В – сумма, направленная в отчетном периоде на погашение долговых обязательств бюджета муниципального образования (утверждено);</t>
  </si>
  <si>
    <t xml:space="preserve">Р=((Б-В)/А)/((Д-Е)/Г)*100, 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</si>
  <si>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</si>
  <si>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</si>
  <si>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>4.1.</t>
  </si>
  <si>
    <t xml:space="preserve">соответствует </t>
  </si>
  <si>
    <t>Размещение на официальных сайтах органов местного самоуправления муниципального образования решения об исполнении местного бюджета и ежеквартальных отчетов об исполнении местного бюджета</t>
  </si>
  <si>
    <t>3</t>
  </si>
  <si>
    <t>6</t>
  </si>
  <si>
    <t>7</t>
  </si>
  <si>
    <t>8</t>
  </si>
  <si>
    <t>9</t>
  </si>
  <si>
    <t>А – объем расходов местного бюджета на реализацию муниципальных программ</t>
  </si>
  <si>
    <t>Отношение объема муниципального долга к объему доходов местного бюджета без учета безвозмездных поступлений</t>
  </si>
  <si>
    <t>А - объем муниципального долга</t>
  </si>
  <si>
    <t>Б-объем доходов местного бюджета</t>
  </si>
  <si>
    <t>В-объем безвозмездных поступлений</t>
  </si>
  <si>
    <t>Коэффициент покрытия расходов местного бюджета собственными средствами без привлечения заемных средств</t>
  </si>
  <si>
    <t>Р=(А+Б)/В</t>
  </si>
  <si>
    <t>А-объем доходов местного бюджета в отчетном финансовом году;</t>
  </si>
  <si>
    <t>Б-объем поступлений от продажи акций и иных форм участия в капитале, находящихся в муниципальной собственности, и (или) снижения остатков средств на счетах по учету средств местного бюджета в отчетном финансовом году;</t>
  </si>
  <si>
    <t>В-объем расходов местного бюджета в отчетном финансовом году</t>
  </si>
  <si>
    <t>высокая</t>
  </si>
  <si>
    <t>средняя</t>
  </si>
  <si>
    <t>низкая</t>
  </si>
  <si>
    <t>2.5</t>
  </si>
  <si>
    <t>Дата проведения публичных слушаний по проекту бюджета на 2019 год</t>
  </si>
  <si>
    <t>Дата проведения публичных слушаний по годовому отчету об исполнении бюджета за 2017 год</t>
  </si>
  <si>
    <t>№ 462 от 21.05.2009г.</t>
  </si>
  <si>
    <t>№ 37 от 17.03.2006г.</t>
  </si>
  <si>
    <t>№ 37 от 28.03.2006г.</t>
  </si>
  <si>
    <t>нет данных</t>
  </si>
  <si>
    <t>http://prim-ahtarsk.ru/economy7203636.html</t>
  </si>
  <si>
    <t>выполняется</t>
  </si>
  <si>
    <t>не выполняется</t>
  </si>
  <si>
    <t>http://borodinskoe-sp.ru/inova_block_documentset/document/253670/</t>
  </si>
  <si>
    <t>http://brinksp.ru/administratsiya/byudzhet-/</t>
  </si>
  <si>
    <t>http://priazovskoe.ru/inova_block_documentset/652/card/?category=aktualnaya-versiya-byudzheta-munitsipalnogo-obrazovaniya</t>
  </si>
  <si>
    <t xml:space="preserve">http://prim-ahtarsk.ru/cityadmin9897919.htm в части решения об исполнении, информация о ежеквартальных отчетах не найдена </t>
  </si>
  <si>
    <t>http://admin-ahtarskogo-sp.ru/index.php/администрация/экономика-и-финансы/бюджет.html</t>
  </si>
  <si>
    <t>нет</t>
  </si>
  <si>
    <t>http://borodinskoe-sp.ru/inova_block_documentset/530/card/?q=бюджет+МО+2018&amp;page=2</t>
  </si>
  <si>
    <t>http://borodinskoe-sp.ru/economy/budget/</t>
  </si>
  <si>
    <t>http://priazovskoe.ru/economy/budget/</t>
  </si>
  <si>
    <t>информация не найдена</t>
  </si>
  <si>
    <t>только в части отчета за 2017 год</t>
  </si>
  <si>
    <t>№ 36 от 10.03.2006 г</t>
  </si>
  <si>
    <t>http://stepnogo-sp.ru/index.php/администрация/экономика/бюджет.html</t>
  </si>
  <si>
    <t xml:space="preserve"> выполняется</t>
  </si>
  <si>
    <t>http://stepnogo-sp.ru/index.php/администрация/экономика/исполнение-бюджета.html</t>
  </si>
  <si>
    <t>http://stepnogo-sp.ru/index.php/бюджет-для-граждан.html</t>
  </si>
  <si>
    <t>http://priazovskoe.ru/inova_block_documentset/652/card/?category=resheniya-soveta-selskogo-poseleniya&amp;page=4, http://priazovskoe.ru/economy/budget/</t>
  </si>
  <si>
    <t xml:space="preserve">http://brinksp.ru/administratsiya/byudzhet-/ </t>
  </si>
  <si>
    <t>http://adm-novopokrov.ru/index.php/администрация/экономика-и-финансы/бюджет.html; http://adm-novopokrov.ru/index.php/администрация/экономика-и-финансы/отчёты.html</t>
  </si>
  <si>
    <t>http://adm-novopokrov.ru/index.php/администрация/экономика-и-финансы/бюджет.html</t>
  </si>
  <si>
    <t>№ 117 от 13.10.2016</t>
  </si>
  <si>
    <t>№ 157 от 21.12.2016</t>
  </si>
  <si>
    <t>№ 41 от 16.03.2006</t>
  </si>
  <si>
    <t>информация не размещена</t>
  </si>
  <si>
    <t>http://admin-osp.ru/администрация/экономика/статистическая-информация, не размещены ежеквартальные отчеты</t>
  </si>
  <si>
    <t>№ 33 от 16.03.2006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</si>
</sst>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#,##0.0"/>
    <numFmt numFmtId="196" formatCode="0.000000"/>
    <numFmt numFmtId="197" formatCode="[$-FC19]d\ mmmm\ yyyy\ &quot;г.&quot;"/>
    <numFmt numFmtId="198" formatCode="0.00000"/>
  </numFmts>
  <fonts count="39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92" fontId="0" fillId="0" borderId="10" xfId="0" applyNumberFormat="1" applyBorder="1" applyAlignment="1">
      <alignment/>
    </xf>
    <xf numFmtId="192" fontId="0" fillId="36" borderId="10" xfId="0" applyNumberFormat="1" applyFill="1" applyBorder="1" applyAlignment="1">
      <alignment/>
    </xf>
    <xf numFmtId="19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93" fontId="0" fillId="0" borderId="0" xfId="0" applyNumberFormat="1" applyAlignment="1">
      <alignment/>
    </xf>
    <xf numFmtId="49" fontId="0" fillId="37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93" fontId="0" fillId="0" borderId="13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0" fillId="0" borderId="0" xfId="0" applyNumberFormat="1" applyAlignment="1">
      <alignment/>
    </xf>
    <xf numFmtId="195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92" fontId="0" fillId="0" borderId="13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49" fontId="4" fillId="37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justify" wrapText="1"/>
    </xf>
    <xf numFmtId="1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5" borderId="14" xfId="0" applyFill="1" applyBorder="1" applyAlignment="1">
      <alignment/>
    </xf>
    <xf numFmtId="193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0" xfId="42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 vertical="center"/>
    </xf>
    <xf numFmtId="192" fontId="0" fillId="0" borderId="0" xfId="0" applyNumberForma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195" fontId="0" fillId="0" borderId="13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42" applyBorder="1" applyAlignment="1" applyProtection="1">
      <alignment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4" fontId="0" fillId="0" borderId="14" xfId="0" applyNumberFormat="1" applyFill="1" applyBorder="1" applyAlignment="1">
      <alignment horizontal="right"/>
    </xf>
    <xf numFmtId="0" fontId="2" fillId="0" borderId="10" xfId="42" applyFont="1" applyBorder="1" applyAlignment="1" applyProtection="1">
      <alignment wrapText="1"/>
      <protection/>
    </xf>
    <xf numFmtId="0" fontId="2" fillId="0" borderId="10" xfId="42" applyFont="1" applyBorder="1" applyAlignment="1" applyProtection="1">
      <alignment horizontal="center" wrapText="1"/>
      <protection/>
    </xf>
    <xf numFmtId="195" fontId="0" fillId="0" borderId="10" xfId="0" applyNumberFormat="1" applyBorder="1" applyAlignment="1">
      <alignment wrapText="1"/>
    </xf>
    <xf numFmtId="195" fontId="0" fillId="0" borderId="10" xfId="0" applyNumberFormat="1" applyFill="1" applyBorder="1" applyAlignment="1">
      <alignment/>
    </xf>
    <xf numFmtId="19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195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0" xfId="42" applyAlignment="1" applyProtection="1">
      <alignment horizontal="center" wrapText="1"/>
      <protection/>
    </xf>
    <xf numFmtId="195" fontId="2" fillId="0" borderId="10" xfId="42" applyNumberFormat="1" applyBorder="1" applyAlignment="1" applyProtection="1">
      <alignment wrapText="1"/>
      <protection/>
    </xf>
    <xf numFmtId="195" fontId="2" fillId="0" borderId="10" xfId="42" applyNumberFormat="1" applyBorder="1" applyAlignment="1" applyProtection="1">
      <alignment/>
      <protection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5" borderId="14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economy7203636.html" TargetMode="External" /><Relationship Id="rId2" Type="http://schemas.openxmlformats.org/officeDocument/2006/relationships/hyperlink" Target="http://borodinskoe-sp.ru/inova_block_documentset/document/253670/" TargetMode="External" /><Relationship Id="rId3" Type="http://schemas.openxmlformats.org/officeDocument/2006/relationships/hyperlink" Target="http://brinksp.ru/administratsiya/byudzhet-/" TargetMode="External" /><Relationship Id="rId4" Type="http://schemas.openxmlformats.org/officeDocument/2006/relationships/hyperlink" Target="http://priazovskoe.ru/inova_block_documentset/652/card/?category=aktualnaya-versiya-byudzheta-munitsipalnogo-obrazovaniya" TargetMode="External" /><Relationship Id="rId5" Type="http://schemas.openxmlformats.org/officeDocument/2006/relationships/hyperlink" Target="http://admin-ahtarskogo-sp.ru/index.php/&#1072;&#1076;&#1084;&#1080;&#1085;&#1080;&#1089;&#1090;&#1088;&#1072;&#1094;&#1080;&#1103;/&#1101;&#1082;&#1086;&#1085;&#1086;&#1084;&#1080;&#1082;&#1072;-&#1080;-&#1092;&#1080;&#1085;&#1072;&#1085;&#1089;&#1099;/&#1073;&#1102;&#1076;&#1078;&#1077;&#1090;.html" TargetMode="External" /><Relationship Id="rId6" Type="http://schemas.openxmlformats.org/officeDocument/2006/relationships/hyperlink" Target="http://stepnogo-sp.ru/index.php/&#1072;&#1076;&#1084;&#1080;&#1085;&#1080;&#1089;&#1090;&#1088;&#1072;&#1094;&#1080;&#1103;/&#1101;&#1082;&#1086;&#1085;&#1086;&#1084;&#1080;&#1082;&#1072;/&#1073;&#1102;&#1076;&#1078;&#1077;&#1090;.html" TargetMode="External" /><Relationship Id="rId7" Type="http://schemas.openxmlformats.org/officeDocument/2006/relationships/hyperlink" Target="http://adm-novopokrov.ru/index.php/&#1072;&#1076;&#1084;&#1080;&#1085;&#1080;&#1089;&#1090;&#1088;&#1072;&#1094;&#1080;&#1103;/&#1101;&#1082;&#1086;&#1085;&#1086;&#1084;&#1080;&#1082;&#1072;-&#1080;-&#1092;&#1080;&#1085;&#1072;&#1085;&#1089;&#1099;/&#1073;&#1102;&#1076;&#1078;&#1077;&#1090;.html" TargetMode="External" /><Relationship Id="rId8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cityadmin9897919.htm%20&#1074;%20&#1095;&#1072;&#1089;&#1090;&#1080;%20&#1088;&#1077;&#1096;&#1077;&#1085;&#1080;&#1103;%20&#1086;&#1073;%20&#1080;&#1089;&#1087;&#1086;&#1083;&#1085;&#1077;&#1085;&#1080;&#1080;,%20&#1080;&#1085;&#1092;&#1086;&#1088;&#1084;&#1072;&#1094;&#1080;&#1103;%20&#1086;%20&#1077;&#1078;&#1077;&#1082;&#1074;&#1072;&#1088;&#1090;&#1072;&#1083;&#1100;&#1085;&#1099;&#1093;%20&#1086;&#1090;&#1095;&#1077;&#1090;&#1072;&#1093;%20&#1085;&#1077;%20&#1085;&#1072;&#1081;&#1076;&#1077;&#1085;&#1072;" TargetMode="External" /><Relationship Id="rId2" Type="http://schemas.openxmlformats.org/officeDocument/2006/relationships/hyperlink" Target="http://admin-ahtarskogo-sp.ru/index.php/&#1072;&#1076;&#1084;&#1080;&#1085;&#1080;&#1089;&#1090;&#1088;&#1072;&#1094;&#1080;&#1103;/&#1101;&#1082;&#1086;&#1085;&#1086;&#1084;&#1080;&#1082;&#1072;-&#1080;-&#1092;&#1080;&#1085;&#1072;&#1085;&#1089;&#1099;/&#1073;&#1102;&#1076;&#1078;&#1077;&#1090;.html" TargetMode="External" /><Relationship Id="rId3" Type="http://schemas.openxmlformats.org/officeDocument/2006/relationships/hyperlink" Target="http://borodinskoe-sp.ru/inova_block_documentset/530/card/?q=&#1073;&#1102;&#1076;&#1078;&#1077;&#1090;+&#1052;&#1054;+2018&amp;page=2" TargetMode="External" /><Relationship Id="rId4" Type="http://schemas.openxmlformats.org/officeDocument/2006/relationships/hyperlink" Target="http://brinksp.ru/administratsiya/byudzhet-/" TargetMode="External" /><Relationship Id="rId5" Type="http://schemas.openxmlformats.org/officeDocument/2006/relationships/hyperlink" Target="http://admin-osp.ru/&#1072;&#1076;&#1084;&#1080;&#1085;&#1080;&#1089;&#1090;&#1088;&#1072;&#1094;&#1080;&#1103;/&#1101;&#1082;&#1086;&#1085;&#1086;&#1084;&#1080;&#1082;&#1072;/&#1089;&#1090;&#1072;&#1090;&#1080;&#1089;&#1090;&#1080;&#1095;&#1077;&#1089;&#1082;&#1072;&#1103;-&#1080;&#1085;&#1092;&#1086;&#1088;&#1084;&#1072;&#1094;&#1080;&#1103;,%20&#1085;&#1077;%20&#1088;&#1072;&#1079;&#1084;&#1077;&#1097;&#1077;&#1085;&#1099;%20&#1077;&#1078;&#1077;&#1082;&#1074;&#1072;&#1088;&#1090;&#1072;&#1083;&#1100;&#1085;&#1099;&#1077;%20&#1086;&#1090;&#1095;&#1077;&#1090;&#1099;" TargetMode="External" /><Relationship Id="rId6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borodinskoe-sp.ru/economy/budget/" TargetMode="External" /><Relationship Id="rId2" Type="http://schemas.openxmlformats.org/officeDocument/2006/relationships/hyperlink" Target="http://priazovskoe.ru/economy/budget/" TargetMode="External" /><Relationship Id="rId3" Type="http://schemas.openxmlformats.org/officeDocument/2006/relationships/hyperlink" Target="http://stepnogo-sp.ru/index.php/&#1073;&#1102;&#1076;&#1078;&#1077;&#1090;-&#1076;&#1083;&#1103;-&#1075;&#1088;&#1072;&#1078;&#1076;&#1072;&#1085;.html" TargetMode="Externa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K1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3.140625" style="0" customWidth="1"/>
    <col min="6" max="6" width="17.140625" style="0" customWidth="1"/>
    <col min="7" max="7" width="10.8515625" style="0" customWidth="1"/>
    <col min="8" max="8" width="13.57421875" style="0" customWidth="1"/>
    <col min="10" max="10" width="10.57421875" style="0" customWidth="1"/>
    <col min="11" max="11" width="10.28125" style="0" customWidth="1"/>
  </cols>
  <sheetData>
    <row r="2" spans="2:11" ht="52.5" customHeight="1">
      <c r="B2" s="93" t="s">
        <v>18</v>
      </c>
      <c r="C2" s="94"/>
      <c r="D2" s="94"/>
      <c r="E2" s="94"/>
      <c r="F2" s="94"/>
      <c r="G2" s="94"/>
      <c r="H2" s="94"/>
      <c r="I2" s="94"/>
      <c r="J2" s="94"/>
      <c r="K2" s="95"/>
    </row>
    <row r="3" ht="13.5" thickBot="1"/>
    <row r="4" spans="2:5" ht="13.5" thickBot="1">
      <c r="B4" s="2" t="s">
        <v>9</v>
      </c>
      <c r="C4" s="88" t="s">
        <v>160</v>
      </c>
      <c r="D4" s="88"/>
      <c r="E4" s="89"/>
    </row>
    <row r="6" spans="2:11" ht="87.75" customHeight="1">
      <c r="B6" s="3" t="s">
        <v>15</v>
      </c>
      <c r="C6" s="3" t="s">
        <v>133</v>
      </c>
      <c r="D6" s="3" t="s">
        <v>134</v>
      </c>
      <c r="E6" s="3" t="s">
        <v>16</v>
      </c>
      <c r="F6" s="3" t="s">
        <v>17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2:11" ht="12.75">
      <c r="B7" s="4" t="s">
        <v>0</v>
      </c>
      <c r="C7" s="37">
        <v>0</v>
      </c>
      <c r="D7" s="37">
        <v>0</v>
      </c>
      <c r="E7" s="51">
        <v>149918</v>
      </c>
      <c r="F7" s="51">
        <v>49897</v>
      </c>
      <c r="G7" s="18">
        <f>(C7-D7)/(E7-F7)</f>
        <v>0</v>
      </c>
      <c r="H7" s="1" t="s">
        <v>104</v>
      </c>
      <c r="I7" s="1">
        <v>1</v>
      </c>
      <c r="J7" s="90">
        <v>0.04</v>
      </c>
      <c r="K7" s="1">
        <f>I7*J7</f>
        <v>0.04</v>
      </c>
    </row>
    <row r="8" spans="2:11" ht="12.75">
      <c r="B8" s="4" t="s">
        <v>1</v>
      </c>
      <c r="C8" s="35">
        <v>0</v>
      </c>
      <c r="D8" s="35">
        <v>0</v>
      </c>
      <c r="E8" s="9">
        <v>12340.9</v>
      </c>
      <c r="F8" s="9">
        <v>2989.6</v>
      </c>
      <c r="G8" s="18">
        <f aca="true" t="shared" si="0" ref="G8:G15">(C8-D8)/(E8-F8)</f>
        <v>0</v>
      </c>
      <c r="H8" s="1" t="s">
        <v>104</v>
      </c>
      <c r="I8" s="1">
        <v>1</v>
      </c>
      <c r="J8" s="91"/>
      <c r="K8" s="1">
        <f>I8*J7</f>
        <v>0.04</v>
      </c>
    </row>
    <row r="9" spans="2:11" ht="12.75">
      <c r="B9" s="4" t="s">
        <v>2</v>
      </c>
      <c r="C9" s="35">
        <v>3153.3</v>
      </c>
      <c r="D9" s="35">
        <v>3153.3</v>
      </c>
      <c r="E9" s="9">
        <v>12710.9</v>
      </c>
      <c r="F9" s="9">
        <v>5359.6</v>
      </c>
      <c r="G9" s="18">
        <f t="shared" si="0"/>
        <v>0</v>
      </c>
      <c r="H9" s="1" t="s">
        <v>104</v>
      </c>
      <c r="I9" s="1">
        <v>1</v>
      </c>
      <c r="J9" s="91"/>
      <c r="K9" s="1">
        <f>I9*J7</f>
        <v>0.04</v>
      </c>
    </row>
    <row r="10" spans="2:11" ht="12.75">
      <c r="B10" s="4" t="s">
        <v>3</v>
      </c>
      <c r="C10" s="35">
        <v>944.5</v>
      </c>
      <c r="D10" s="35">
        <v>944.5</v>
      </c>
      <c r="E10" s="9">
        <v>69016.5</v>
      </c>
      <c r="F10" s="9">
        <v>42881.2</v>
      </c>
      <c r="G10" s="18">
        <f t="shared" si="0"/>
        <v>0</v>
      </c>
      <c r="H10" s="54" t="s">
        <v>170</v>
      </c>
      <c r="I10" s="1">
        <v>1</v>
      </c>
      <c r="J10" s="91"/>
      <c r="K10" s="1">
        <f>I10*J7</f>
        <v>0.04</v>
      </c>
    </row>
    <row r="11" spans="2:11" ht="12.75">
      <c r="B11" s="4" t="s">
        <v>4</v>
      </c>
      <c r="C11" s="35">
        <v>0</v>
      </c>
      <c r="D11" s="35">
        <v>0</v>
      </c>
      <c r="E11" s="9">
        <v>8426.4</v>
      </c>
      <c r="F11" s="9">
        <v>4313.7</v>
      </c>
      <c r="G11" s="18">
        <f t="shared" si="0"/>
        <v>0</v>
      </c>
      <c r="H11" s="1" t="s">
        <v>104</v>
      </c>
      <c r="I11" s="1">
        <v>1</v>
      </c>
      <c r="J11" s="91"/>
      <c r="K11" s="1">
        <f>I11*J7</f>
        <v>0.04</v>
      </c>
    </row>
    <row r="12" spans="2:11" ht="12.75">
      <c r="B12" s="4" t="s">
        <v>5</v>
      </c>
      <c r="C12" s="35">
        <v>0</v>
      </c>
      <c r="D12" s="35">
        <v>0</v>
      </c>
      <c r="E12" s="9">
        <v>35007.2</v>
      </c>
      <c r="F12" s="9">
        <v>19126.4</v>
      </c>
      <c r="G12" s="18">
        <f t="shared" si="0"/>
        <v>0</v>
      </c>
      <c r="H12" s="1" t="s">
        <v>104</v>
      </c>
      <c r="I12" s="1">
        <v>1</v>
      </c>
      <c r="J12" s="91"/>
      <c r="K12" s="1">
        <f>I12*J7</f>
        <v>0.04</v>
      </c>
    </row>
    <row r="13" spans="2:11" ht="12.75">
      <c r="B13" s="4" t="s">
        <v>6</v>
      </c>
      <c r="C13" s="35">
        <v>378.3</v>
      </c>
      <c r="D13" s="35">
        <v>378.3</v>
      </c>
      <c r="E13" s="9">
        <v>25671.3</v>
      </c>
      <c r="F13" s="9">
        <v>16289.2</v>
      </c>
      <c r="G13" s="18">
        <f t="shared" si="0"/>
        <v>0</v>
      </c>
      <c r="H13" s="1" t="s">
        <v>104</v>
      </c>
      <c r="I13" s="1">
        <v>1</v>
      </c>
      <c r="J13" s="91"/>
      <c r="K13" s="1">
        <f>I13*J7</f>
        <v>0.04</v>
      </c>
    </row>
    <row r="14" spans="2:11" ht="12.75">
      <c r="B14" s="4" t="s">
        <v>7</v>
      </c>
      <c r="C14" s="35">
        <v>0</v>
      </c>
      <c r="D14" s="35">
        <v>0</v>
      </c>
      <c r="E14" s="9">
        <v>13841.1</v>
      </c>
      <c r="F14" s="9">
        <v>5804</v>
      </c>
      <c r="G14" s="18">
        <f t="shared" si="0"/>
        <v>0</v>
      </c>
      <c r="H14" s="1" t="s">
        <v>104</v>
      </c>
      <c r="I14" s="1">
        <v>1</v>
      </c>
      <c r="J14" s="91"/>
      <c r="K14" s="1">
        <f>I14*J7</f>
        <v>0.04</v>
      </c>
    </row>
    <row r="15" spans="2:11" ht="12.75">
      <c r="B15" s="4" t="s">
        <v>8</v>
      </c>
      <c r="C15" s="35">
        <v>0</v>
      </c>
      <c r="D15" s="35">
        <v>0</v>
      </c>
      <c r="E15" s="9">
        <v>20211.1</v>
      </c>
      <c r="F15" s="9">
        <v>9404.7</v>
      </c>
      <c r="G15" s="18">
        <f t="shared" si="0"/>
        <v>0</v>
      </c>
      <c r="H15" s="1" t="s">
        <v>104</v>
      </c>
      <c r="I15" s="1">
        <v>1</v>
      </c>
      <c r="J15" s="92"/>
      <c r="K15" s="1">
        <f>I15*J7</f>
        <v>0.04</v>
      </c>
    </row>
    <row r="16" spans="3:6" ht="12.75">
      <c r="C16" s="36"/>
      <c r="D16" s="36"/>
      <c r="E16" s="36"/>
      <c r="F16" s="36"/>
    </row>
    <row r="17" ht="12.75">
      <c r="B17" s="25"/>
    </row>
  </sheetData>
  <sheetProtection/>
  <mergeCells count="3">
    <mergeCell ref="C4:E4"/>
    <mergeCell ref="J7:J15"/>
    <mergeCell ref="B2:K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  <col min="5" max="5" width="10.851562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46.5" customHeight="1">
      <c r="B2" s="93" t="s">
        <v>116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88" t="s">
        <v>31</v>
      </c>
      <c r="D4" s="88"/>
    </row>
    <row r="6" spans="2:9" ht="141" customHeight="1">
      <c r="B6" s="3" t="s">
        <v>15</v>
      </c>
      <c r="C6" s="3" t="s">
        <v>114</v>
      </c>
      <c r="D6" s="3" t="s">
        <v>115</v>
      </c>
      <c r="E6" s="3" t="s">
        <v>10</v>
      </c>
      <c r="F6" s="3" t="s">
        <v>32</v>
      </c>
      <c r="G6" s="3" t="s">
        <v>45</v>
      </c>
      <c r="H6" s="3" t="s">
        <v>13</v>
      </c>
      <c r="I6" s="3" t="s">
        <v>14</v>
      </c>
    </row>
    <row r="7" spans="2:9" ht="12.75">
      <c r="B7" s="4" t="s">
        <v>0</v>
      </c>
      <c r="C7" s="35">
        <v>111229.6</v>
      </c>
      <c r="D7" s="35">
        <v>106849.3</v>
      </c>
      <c r="E7" s="9">
        <f>C7/D7*100</f>
        <v>104.09951211659786</v>
      </c>
      <c r="F7" s="12"/>
      <c r="G7" s="13">
        <f>(E7-E13)/(E8-E13)</f>
        <v>0.2946949068793962</v>
      </c>
      <c r="H7" s="90">
        <v>0.06</v>
      </c>
      <c r="I7" s="13">
        <f>ROUND((G7*H7),3)</f>
        <v>0.018</v>
      </c>
    </row>
    <row r="8" spans="2:9" ht="12.75">
      <c r="B8" s="4" t="s">
        <v>1</v>
      </c>
      <c r="C8" s="35">
        <v>10137.8</v>
      </c>
      <c r="D8" s="35">
        <v>8048</v>
      </c>
      <c r="E8" s="9">
        <f aca="true" t="shared" si="0" ref="E8:E15">C8/D8*100</f>
        <v>125.96669980119285</v>
      </c>
      <c r="F8" s="12" t="s">
        <v>102</v>
      </c>
      <c r="G8" s="13">
        <f>(E8-E13)/(E8-E13)</f>
        <v>1</v>
      </c>
      <c r="H8" s="91"/>
      <c r="I8" s="13">
        <f>ROUND((G8*H7),3)</f>
        <v>0.06</v>
      </c>
    </row>
    <row r="9" spans="2:9" ht="12.75">
      <c r="B9" s="4" t="s">
        <v>2</v>
      </c>
      <c r="C9" s="35">
        <v>7863.9</v>
      </c>
      <c r="D9" s="35">
        <v>7359.3</v>
      </c>
      <c r="E9" s="9">
        <f t="shared" si="0"/>
        <v>106.85663038604214</v>
      </c>
      <c r="G9" s="13">
        <f>(E9-E13)/(E8-E13)</f>
        <v>0.3836231031259055</v>
      </c>
      <c r="H9" s="91"/>
      <c r="I9" s="13">
        <f>ROUND((G9*H7),3)</f>
        <v>0.023</v>
      </c>
    </row>
    <row r="10" spans="2:9" ht="12.75">
      <c r="B10" s="4" t="s">
        <v>3</v>
      </c>
      <c r="C10" s="35">
        <v>29379.3</v>
      </c>
      <c r="D10" s="35">
        <v>26057.3</v>
      </c>
      <c r="E10" s="9">
        <f t="shared" si="0"/>
        <v>112.74882662440085</v>
      </c>
      <c r="F10" s="11"/>
      <c r="G10" s="13">
        <f>(E10-E13)/(E8-E13)</f>
        <v>0.5736702219654323</v>
      </c>
      <c r="H10" s="91"/>
      <c r="I10" s="13">
        <f>ROUND((G10*H7),3)</f>
        <v>0.034</v>
      </c>
    </row>
    <row r="11" spans="2:9" ht="12.75">
      <c r="B11" s="4" t="s">
        <v>4</v>
      </c>
      <c r="C11" s="35">
        <v>5806.7</v>
      </c>
      <c r="D11" s="35">
        <v>5589.4</v>
      </c>
      <c r="E11" s="9">
        <f t="shared" si="0"/>
        <v>103.88771603392135</v>
      </c>
      <c r="F11" s="12"/>
      <c r="G11" s="13">
        <f>(E11-E13)/(E8-E13)</f>
        <v>0.28786362807165206</v>
      </c>
      <c r="H11" s="91"/>
      <c r="I11" s="13">
        <f>ROUND((G11*H7),3)</f>
        <v>0.017</v>
      </c>
    </row>
    <row r="12" spans="2:9" ht="12.75">
      <c r="B12" s="4" t="s">
        <v>5</v>
      </c>
      <c r="C12" s="35">
        <v>18368.4</v>
      </c>
      <c r="D12" s="35">
        <v>16190.8</v>
      </c>
      <c r="E12" s="9">
        <f t="shared" si="0"/>
        <v>113.44961336067398</v>
      </c>
      <c r="G12" s="13">
        <f>(E12-E13)/(E8-E13)</f>
        <v>0.5962734236854691</v>
      </c>
      <c r="H12" s="91"/>
      <c r="I12" s="13">
        <f>ROUND((G12*H7),3)</f>
        <v>0.036</v>
      </c>
    </row>
    <row r="13" spans="2:9" ht="12.75">
      <c r="B13" s="4" t="s">
        <v>6</v>
      </c>
      <c r="C13" s="35">
        <v>9797.6</v>
      </c>
      <c r="D13" s="35">
        <v>10317.3</v>
      </c>
      <c r="E13" s="9">
        <f t="shared" si="0"/>
        <v>94.96282942242642</v>
      </c>
      <c r="F13" s="12" t="s">
        <v>103</v>
      </c>
      <c r="G13" s="13">
        <f>(E13-E13)/(E8-E13)</f>
        <v>0</v>
      </c>
      <c r="H13" s="91"/>
      <c r="I13" s="13">
        <f>ROUND((G13*H7),3)</f>
        <v>0</v>
      </c>
    </row>
    <row r="14" spans="2:9" ht="12.75">
      <c r="B14" s="4" t="s">
        <v>7</v>
      </c>
      <c r="C14" s="35">
        <v>8895.6</v>
      </c>
      <c r="D14" s="35">
        <v>8021.7</v>
      </c>
      <c r="E14" s="9">
        <f t="shared" si="0"/>
        <v>110.89419948389994</v>
      </c>
      <c r="F14" s="12"/>
      <c r="G14" s="13">
        <f>(E14-E13)/(E8-E13)</f>
        <v>0.5138510084981006</v>
      </c>
      <c r="H14" s="91"/>
      <c r="I14" s="13">
        <f>ROUND((G14*H7),3)</f>
        <v>0.031</v>
      </c>
    </row>
    <row r="15" spans="2:9" ht="12.75">
      <c r="B15" s="4" t="s">
        <v>8</v>
      </c>
      <c r="C15" s="35">
        <v>11420.7</v>
      </c>
      <c r="D15" s="35">
        <v>11635.7</v>
      </c>
      <c r="E15" s="9">
        <f t="shared" si="0"/>
        <v>98.15223836984454</v>
      </c>
      <c r="F15" s="1"/>
      <c r="G15" s="13">
        <f>(E15-E13)/(E8-E13)</f>
        <v>0.10287131601486897</v>
      </c>
      <c r="H15" s="92"/>
      <c r="I15" s="13">
        <f>ROUND((G15*H7),3)</f>
        <v>0.006</v>
      </c>
    </row>
    <row r="16" spans="3:4" s="25" customFormat="1" ht="12.75">
      <c r="C16" s="81"/>
      <c r="D16" s="81"/>
    </row>
    <row r="17" ht="12.75">
      <c r="D17" s="10"/>
    </row>
    <row r="18" ht="12.75">
      <c r="B18" s="25"/>
    </row>
  </sheetData>
  <sheetProtection/>
  <mergeCells count="3">
    <mergeCell ref="C4:D4"/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7"/>
  <sheetViews>
    <sheetView zoomScalePageLayoutView="0" workbookViewId="0" topLeftCell="B1">
      <selection activeCell="D21" sqref="D21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30.75" customHeight="1">
      <c r="B2" s="93" t="s">
        <v>46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88" t="s">
        <v>117</v>
      </c>
      <c r="D4" s="88"/>
    </row>
    <row r="6" spans="2:9" ht="75.75" customHeight="1">
      <c r="B6" s="3" t="s">
        <v>15</v>
      </c>
      <c r="C6" s="3" t="s">
        <v>47</v>
      </c>
      <c r="D6" s="3" t="s">
        <v>48</v>
      </c>
      <c r="E6" s="3" t="s">
        <v>10</v>
      </c>
      <c r="F6" s="3" t="s">
        <v>32</v>
      </c>
      <c r="G6" s="3" t="s">
        <v>33</v>
      </c>
      <c r="H6" s="3" t="s">
        <v>13</v>
      </c>
      <c r="I6" s="3" t="s">
        <v>14</v>
      </c>
    </row>
    <row r="7" spans="2:9" ht="12.75">
      <c r="B7" s="4" t="s">
        <v>0</v>
      </c>
      <c r="C7" s="35">
        <v>22838.7</v>
      </c>
      <c r="D7" s="35">
        <v>19862.3</v>
      </c>
      <c r="E7" s="15">
        <f>D7/C7*100</f>
        <v>86.96773459084798</v>
      </c>
      <c r="F7" s="1"/>
      <c r="G7" s="13">
        <f>(E9-E7)/(E9-E11)</f>
        <v>0.8214881335846334</v>
      </c>
      <c r="H7" s="90">
        <v>0.05</v>
      </c>
      <c r="I7" s="13">
        <f>ROUND((G7*H7),3)</f>
        <v>0.041</v>
      </c>
    </row>
    <row r="8" spans="2:9" ht="12.75">
      <c r="B8" s="4" t="s">
        <v>1</v>
      </c>
      <c r="C8" s="35">
        <v>1359.9</v>
      </c>
      <c r="D8" s="35">
        <v>1164.6</v>
      </c>
      <c r="E8" s="15">
        <f aca="true" t="shared" si="0" ref="E8:E15">D8/C8*100</f>
        <v>85.63864990072798</v>
      </c>
      <c r="F8" s="1"/>
      <c r="G8" s="13">
        <f>(E9-E8)/(E9-E11)</f>
        <v>0.8367279751284628</v>
      </c>
      <c r="H8" s="91"/>
      <c r="I8" s="13">
        <f>ROUND((G8*H7),3)</f>
        <v>0.042</v>
      </c>
    </row>
    <row r="9" spans="2:9" ht="12.75">
      <c r="B9" s="4" t="s">
        <v>2</v>
      </c>
      <c r="C9" s="35">
        <v>793.2</v>
      </c>
      <c r="D9" s="35">
        <v>1258.1</v>
      </c>
      <c r="E9" s="15">
        <f t="shared" si="0"/>
        <v>158.61069087241552</v>
      </c>
      <c r="F9" s="1" t="s">
        <v>102</v>
      </c>
      <c r="G9" s="13">
        <f>(E9-E9)/(E9-E11)</f>
        <v>0</v>
      </c>
      <c r="H9" s="91"/>
      <c r="I9" s="13">
        <f>ROUND((G9*H7),3)</f>
        <v>0</v>
      </c>
    </row>
    <row r="10" spans="2:9" ht="12.75">
      <c r="B10" s="4" t="s">
        <v>3</v>
      </c>
      <c r="C10" s="35">
        <v>2523.7</v>
      </c>
      <c r="D10" s="35">
        <v>1966.1</v>
      </c>
      <c r="E10" s="15">
        <f t="shared" si="0"/>
        <v>77.90545627451758</v>
      </c>
      <c r="F10" s="1"/>
      <c r="G10" s="13">
        <f>(E9-E10)/(E9-E11)</f>
        <v>0.9254000111298388</v>
      </c>
      <c r="H10" s="91"/>
      <c r="I10" s="13">
        <f>ROUND((G10*H7),3)</f>
        <v>0.046</v>
      </c>
    </row>
    <row r="11" spans="2:9" ht="12.75">
      <c r="B11" s="4" t="s">
        <v>4</v>
      </c>
      <c r="C11" s="35">
        <v>884.6</v>
      </c>
      <c r="D11" s="35">
        <v>631.6</v>
      </c>
      <c r="E11" s="15">
        <f t="shared" si="0"/>
        <v>71.39950260004522</v>
      </c>
      <c r="F11" s="1" t="s">
        <v>103</v>
      </c>
      <c r="G11" s="13">
        <f>(E9-E11)/(E9-E11)</f>
        <v>1</v>
      </c>
      <c r="H11" s="91"/>
      <c r="I11" s="13">
        <f>ROUND((G11*H7),3)</f>
        <v>0.05</v>
      </c>
    </row>
    <row r="12" spans="2:9" ht="12.75">
      <c r="B12" s="4" t="s">
        <v>5</v>
      </c>
      <c r="C12" s="35">
        <v>1923.7</v>
      </c>
      <c r="D12" s="35">
        <v>1448.8</v>
      </c>
      <c r="E12" s="15">
        <f t="shared" si="0"/>
        <v>75.31319852367832</v>
      </c>
      <c r="F12" s="1"/>
      <c r="G12" s="13">
        <f>(E9-E12)/(E9-E11)</f>
        <v>0.9551239238776316</v>
      </c>
      <c r="H12" s="91"/>
      <c r="I12" s="13">
        <f>ROUND((G12*H7),3)</f>
        <v>0.048</v>
      </c>
    </row>
    <row r="13" spans="2:9" ht="12.75">
      <c r="B13" s="4" t="s">
        <v>6</v>
      </c>
      <c r="C13" s="35">
        <v>1164.2</v>
      </c>
      <c r="D13" s="35">
        <v>1116.5</v>
      </c>
      <c r="E13" s="15">
        <f t="shared" si="0"/>
        <v>95.90276584779247</v>
      </c>
      <c r="F13" s="1"/>
      <c r="G13" s="13">
        <f>(E9-E13)/(E9-E11)</f>
        <v>0.7190353241006096</v>
      </c>
      <c r="H13" s="91"/>
      <c r="I13" s="13">
        <f>ROUND((G13*H7),3)</f>
        <v>0.036</v>
      </c>
    </row>
    <row r="14" spans="2:9" ht="12.75">
      <c r="B14" s="4" t="s">
        <v>7</v>
      </c>
      <c r="C14" s="35">
        <v>861.8</v>
      </c>
      <c r="D14" s="35">
        <v>697.9</v>
      </c>
      <c r="E14" s="15">
        <f t="shared" si="0"/>
        <v>80.98166627987933</v>
      </c>
      <c r="F14" s="1"/>
      <c r="G14" s="13">
        <f>(E9-E14)/(E9-E11)</f>
        <v>0.8901268992011904</v>
      </c>
      <c r="H14" s="91"/>
      <c r="I14" s="13">
        <f>ROUND((G14*H7),3)</f>
        <v>0.045</v>
      </c>
    </row>
    <row r="15" spans="2:9" ht="12.75">
      <c r="B15" s="4" t="s">
        <v>8</v>
      </c>
      <c r="C15" s="35">
        <v>1275.7</v>
      </c>
      <c r="D15" s="35">
        <v>1264.8</v>
      </c>
      <c r="E15" s="15">
        <f t="shared" si="0"/>
        <v>99.14556713960961</v>
      </c>
      <c r="F15" s="1"/>
      <c r="G15" s="13">
        <f>(E9-E15)/(E9-E11)</f>
        <v>0.681852006729798</v>
      </c>
      <c r="H15" s="92"/>
      <c r="I15" s="13">
        <f>ROUND((G15*H7),3)</f>
        <v>0.034</v>
      </c>
    </row>
    <row r="16" spans="3:4" s="25" customFormat="1" ht="12.75">
      <c r="C16" s="80"/>
      <c r="D16" s="80"/>
    </row>
    <row r="17" ht="12.75">
      <c r="B17" s="25"/>
    </row>
  </sheetData>
  <sheetProtection/>
  <mergeCells count="3">
    <mergeCell ref="C4:D4"/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J17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5.28125" style="0" customWidth="1"/>
    <col min="5" max="6" width="13.00390625" style="0" customWidth="1"/>
    <col min="7" max="7" width="13.57421875" style="0" customWidth="1"/>
    <col min="8" max="8" width="13.8515625" style="0" customWidth="1"/>
    <col min="9" max="9" width="10.57421875" style="0" customWidth="1"/>
    <col min="10" max="10" width="10.28125" style="0" customWidth="1"/>
  </cols>
  <sheetData>
    <row r="2" spans="2:10" ht="30.75" customHeight="1">
      <c r="B2" s="93" t="s">
        <v>178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3" ht="13.5" thickBot="1">
      <c r="B4" s="2" t="s">
        <v>9</v>
      </c>
      <c r="C4" s="64" t="s">
        <v>24</v>
      </c>
    </row>
    <row r="6" spans="2:10" ht="75.75" customHeight="1">
      <c r="B6" s="3" t="s">
        <v>15</v>
      </c>
      <c r="C6" s="3" t="s">
        <v>179</v>
      </c>
      <c r="D6" s="3" t="s">
        <v>180</v>
      </c>
      <c r="E6" s="3" t="s">
        <v>181</v>
      </c>
      <c r="F6" s="3" t="s">
        <v>10</v>
      </c>
      <c r="G6" s="3" t="s">
        <v>32</v>
      </c>
      <c r="H6" s="3" t="s">
        <v>33</v>
      </c>
      <c r="I6" s="3" t="s">
        <v>13</v>
      </c>
      <c r="J6" s="3" t="s">
        <v>14</v>
      </c>
    </row>
    <row r="7" spans="2:10" ht="12.75">
      <c r="B7" s="4" t="s">
        <v>0</v>
      </c>
      <c r="C7" s="38">
        <v>0</v>
      </c>
      <c r="D7" s="39">
        <v>160205.4</v>
      </c>
      <c r="E7" s="9">
        <v>48975.7</v>
      </c>
      <c r="F7" s="9">
        <f>(C7/(D7-E7))</f>
        <v>0</v>
      </c>
      <c r="G7" s="1"/>
      <c r="H7" s="13">
        <f>(F10-F7)/(F10-F9)</f>
        <v>1</v>
      </c>
      <c r="I7" s="90">
        <v>0.03</v>
      </c>
      <c r="J7" s="13">
        <f>ROUND((I7*H7),3)</f>
        <v>0.03</v>
      </c>
    </row>
    <row r="8" spans="2:10" ht="12.75">
      <c r="B8" s="4" t="s">
        <v>1</v>
      </c>
      <c r="C8" s="38">
        <v>0</v>
      </c>
      <c r="D8" s="39">
        <v>13122</v>
      </c>
      <c r="E8" s="9">
        <v>2984.3</v>
      </c>
      <c r="F8" s="9">
        <f aca="true" t="shared" si="0" ref="F8:F15">(C8/(D8-E8))</f>
        <v>0</v>
      </c>
      <c r="G8" s="1"/>
      <c r="H8" s="13">
        <f>(F10-F8)/(F10-F9)</f>
        <v>1</v>
      </c>
      <c r="I8" s="91"/>
      <c r="J8" s="13">
        <f>ROUND((H8*I7),3)</f>
        <v>0.03</v>
      </c>
    </row>
    <row r="9" spans="2:10" ht="12.75">
      <c r="B9" s="4" t="s">
        <v>2</v>
      </c>
      <c r="C9" s="9">
        <v>0</v>
      </c>
      <c r="D9" s="39">
        <v>12880.7</v>
      </c>
      <c r="E9" s="9">
        <v>5016.8</v>
      </c>
      <c r="F9" s="9">
        <f t="shared" si="0"/>
        <v>0</v>
      </c>
      <c r="G9" s="1" t="s">
        <v>103</v>
      </c>
      <c r="H9" s="13">
        <f>(F10-F9)/(F10-F9)</f>
        <v>1</v>
      </c>
      <c r="I9" s="91"/>
      <c r="J9" s="13">
        <f>ROUND((H9*I7),3)</f>
        <v>0.03</v>
      </c>
    </row>
    <row r="10" spans="2:10" ht="12.75">
      <c r="B10" s="4" t="s">
        <v>3</v>
      </c>
      <c r="C10" s="9">
        <v>1440</v>
      </c>
      <c r="D10" s="39">
        <v>72175.3</v>
      </c>
      <c r="E10" s="9">
        <v>42796.1</v>
      </c>
      <c r="F10" s="9">
        <f t="shared" si="0"/>
        <v>0.04901426859819191</v>
      </c>
      <c r="G10" t="s">
        <v>102</v>
      </c>
      <c r="H10" s="13">
        <f>(F10-F10)/(F10-F9)</f>
        <v>0</v>
      </c>
      <c r="I10" s="91"/>
      <c r="J10" s="13">
        <f>ROUND((I7*H10),3)</f>
        <v>0</v>
      </c>
    </row>
    <row r="11" spans="2:10" ht="12.75">
      <c r="B11" s="4" t="s">
        <v>4</v>
      </c>
      <c r="C11" s="9">
        <v>0</v>
      </c>
      <c r="D11" s="39">
        <v>10120.4</v>
      </c>
      <c r="E11" s="9">
        <v>4313.7</v>
      </c>
      <c r="F11" s="9">
        <f t="shared" si="0"/>
        <v>0</v>
      </c>
      <c r="G11" s="1"/>
      <c r="H11" s="13">
        <f>(F10-F11)/(F10-F9)</f>
        <v>1</v>
      </c>
      <c r="I11" s="91"/>
      <c r="J11" s="13">
        <f>ROUND((H11*I7),3)</f>
        <v>0.03</v>
      </c>
    </row>
    <row r="12" spans="2:10" ht="12.75">
      <c r="B12" s="4" t="s">
        <v>5</v>
      </c>
      <c r="C12" s="9">
        <v>0</v>
      </c>
      <c r="D12" s="39">
        <v>37345.7</v>
      </c>
      <c r="E12" s="9">
        <v>18977.3</v>
      </c>
      <c r="F12" s="9">
        <f t="shared" si="0"/>
        <v>0</v>
      </c>
      <c r="G12" s="1"/>
      <c r="H12" s="13">
        <f>(F10-F12)/(F10-F9)</f>
        <v>1</v>
      </c>
      <c r="I12" s="91"/>
      <c r="J12" s="13">
        <f>ROUND((H12*I7),3)</f>
        <v>0.03</v>
      </c>
    </row>
    <row r="13" spans="2:10" ht="12.75">
      <c r="B13" s="4" t="s">
        <v>6</v>
      </c>
      <c r="C13" s="9">
        <v>0</v>
      </c>
      <c r="D13" s="39">
        <v>26017.2</v>
      </c>
      <c r="E13" s="9">
        <v>16219.6</v>
      </c>
      <c r="F13" s="9">
        <f t="shared" si="0"/>
        <v>0</v>
      </c>
      <c r="G13" s="1"/>
      <c r="H13" s="13">
        <f>(F10-F13)/(F10-F9)</f>
        <v>1</v>
      </c>
      <c r="I13" s="91"/>
      <c r="J13" s="13">
        <f>ROUND((H13*I7),3)</f>
        <v>0.03</v>
      </c>
    </row>
    <row r="14" spans="2:10" ht="12.75">
      <c r="B14" s="4" t="s">
        <v>7</v>
      </c>
      <c r="C14" s="9">
        <v>0</v>
      </c>
      <c r="D14" s="37">
        <v>14741.2</v>
      </c>
      <c r="E14" s="9">
        <v>5845.6</v>
      </c>
      <c r="F14" s="9">
        <f t="shared" si="0"/>
        <v>0</v>
      </c>
      <c r="G14" s="1"/>
      <c r="H14" s="13">
        <f>(F10-F14)/(F10-F9)</f>
        <v>1</v>
      </c>
      <c r="I14" s="91"/>
      <c r="J14" s="13">
        <f>ROUND((H14*I7),3)</f>
        <v>0.03</v>
      </c>
    </row>
    <row r="15" spans="2:10" ht="12.75">
      <c r="B15" s="4" t="s">
        <v>8</v>
      </c>
      <c r="C15" s="9">
        <v>0</v>
      </c>
      <c r="D15" s="37">
        <v>20774.3</v>
      </c>
      <c r="E15" s="9">
        <v>9353.5</v>
      </c>
      <c r="F15" s="9">
        <f t="shared" si="0"/>
        <v>0</v>
      </c>
      <c r="G15" s="1"/>
      <c r="H15" s="13">
        <f>(F10-F15)/(F10-F9)</f>
        <v>1</v>
      </c>
      <c r="I15" s="92"/>
      <c r="J15" s="13">
        <f>ROUND((H15*I7),3)</f>
        <v>0.03</v>
      </c>
    </row>
    <row r="16" spans="4:5" ht="12.75">
      <c r="D16" s="10"/>
      <c r="E16" s="10"/>
    </row>
    <row r="17" spans="2:3" ht="12.75">
      <c r="B17" s="25"/>
      <c r="C17" s="25"/>
    </row>
  </sheetData>
  <sheetProtection/>
  <mergeCells count="2">
    <mergeCell ref="I7:I15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J16"/>
  <sheetViews>
    <sheetView zoomScalePageLayoutView="0" workbookViewId="0" topLeftCell="B1">
      <selection activeCell="C18" sqref="C18"/>
    </sheetView>
  </sheetViews>
  <sheetFormatPr defaultColWidth="9.140625" defaultRowHeight="12.75"/>
  <cols>
    <col min="2" max="2" width="20.140625" style="0" bestFit="1" customWidth="1"/>
    <col min="3" max="3" width="26.57421875" style="0" customWidth="1"/>
    <col min="4" max="4" width="30.421875" style="0" customWidth="1"/>
    <col min="5" max="5" width="26.57421875" style="0" customWidth="1"/>
    <col min="6" max="6" width="10.8515625" style="0" customWidth="1"/>
    <col min="7" max="7" width="13.57421875" style="0" customWidth="1"/>
    <col min="8" max="8" width="13.8515625" style="0" customWidth="1"/>
    <col min="9" max="9" width="10.57421875" style="0" customWidth="1"/>
    <col min="10" max="10" width="10.28125" style="0" customWidth="1"/>
  </cols>
  <sheetData>
    <row r="2" spans="2:10" ht="57" customHeight="1">
      <c r="B2" s="93" t="s">
        <v>182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5" ht="13.5" thickBot="1">
      <c r="B4" s="2" t="s">
        <v>9</v>
      </c>
      <c r="C4" s="5" t="s">
        <v>183</v>
      </c>
      <c r="D4" s="61"/>
      <c r="E4" s="61"/>
    </row>
    <row r="6" spans="2:10" ht="109.5" customHeight="1">
      <c r="B6" s="3" t="s">
        <v>15</v>
      </c>
      <c r="C6" s="3" t="s">
        <v>184</v>
      </c>
      <c r="D6" s="3" t="s">
        <v>185</v>
      </c>
      <c r="E6" s="3" t="s">
        <v>186</v>
      </c>
      <c r="F6" s="3" t="s">
        <v>10</v>
      </c>
      <c r="G6" s="3" t="s">
        <v>32</v>
      </c>
      <c r="H6" s="3" t="s">
        <v>45</v>
      </c>
      <c r="I6" s="3" t="s">
        <v>13</v>
      </c>
      <c r="J6" s="3" t="s">
        <v>14</v>
      </c>
    </row>
    <row r="7" spans="2:10" ht="12.75">
      <c r="B7" s="4" t="s">
        <v>0</v>
      </c>
      <c r="C7" s="39">
        <v>160205.4</v>
      </c>
      <c r="D7" s="37">
        <v>-1070.5</v>
      </c>
      <c r="E7" s="9">
        <v>149027.8</v>
      </c>
      <c r="F7" s="50">
        <f>(C7+D7)/E7</f>
        <v>1.067820232198288</v>
      </c>
      <c r="G7" t="s">
        <v>102</v>
      </c>
      <c r="H7" s="13">
        <f>(F7-F9)/(F7-F9)</f>
        <v>1</v>
      </c>
      <c r="I7" s="90">
        <v>0.03</v>
      </c>
      <c r="J7" s="13">
        <f>ROUND((H7*I7),3)</f>
        <v>0.03</v>
      </c>
    </row>
    <row r="8" spans="2:10" ht="12.75">
      <c r="B8" s="4" t="s">
        <v>1</v>
      </c>
      <c r="C8" s="39">
        <v>13122</v>
      </c>
      <c r="D8" s="35">
        <v>-708.3</v>
      </c>
      <c r="E8" s="9">
        <v>12311.8</v>
      </c>
      <c r="F8" s="50">
        <f aca="true" t="shared" si="0" ref="F8:F15">(C8+D8)/E8</f>
        <v>1.008276612680518</v>
      </c>
      <c r="G8" s="1"/>
      <c r="H8" s="13">
        <f>(F8-F9)/(F7-F9)</f>
        <v>0.12203751612526896</v>
      </c>
      <c r="I8" s="91"/>
      <c r="J8" s="13">
        <f>ROUND((H8*I7),3)</f>
        <v>0.004</v>
      </c>
    </row>
    <row r="9" spans="2:10" ht="12.75">
      <c r="B9" s="4" t="s">
        <v>2</v>
      </c>
      <c r="C9" s="39">
        <v>12880.7</v>
      </c>
      <c r="D9" s="35">
        <v>3153.3</v>
      </c>
      <c r="E9" s="9">
        <v>16034</v>
      </c>
      <c r="F9" s="50">
        <f t="shared" si="0"/>
        <v>1</v>
      </c>
      <c r="G9" s="1" t="s">
        <v>103</v>
      </c>
      <c r="H9" s="13">
        <f>(F9-F9)/(F7-F9)</f>
        <v>0</v>
      </c>
      <c r="I9" s="91"/>
      <c r="J9" s="13">
        <f>ROUND((H9*I7),3)</f>
        <v>0</v>
      </c>
    </row>
    <row r="10" spans="2:10" ht="12.75">
      <c r="B10" s="4" t="s">
        <v>3</v>
      </c>
      <c r="C10" s="39">
        <v>72175.3</v>
      </c>
      <c r="D10" s="35">
        <v>944.5</v>
      </c>
      <c r="E10" s="9">
        <v>73119.9</v>
      </c>
      <c r="F10" s="50">
        <f t="shared" si="0"/>
        <v>0.99999863238325</v>
      </c>
      <c r="H10" s="13">
        <f>(F10-F9)/(F7-F9)</f>
        <v>-2.016532096145348E-05</v>
      </c>
      <c r="I10" s="91"/>
      <c r="J10" s="13">
        <f>ROUND((H10*I7),3)</f>
        <v>0</v>
      </c>
    </row>
    <row r="11" spans="2:10" ht="12.75">
      <c r="B11" s="4" t="s">
        <v>4</v>
      </c>
      <c r="C11" s="39">
        <v>10120.4</v>
      </c>
      <c r="D11" s="35">
        <v>-778.7</v>
      </c>
      <c r="E11" s="9">
        <v>9281.6</v>
      </c>
      <c r="F11" s="50">
        <f t="shared" si="0"/>
        <v>1.0064751766936733</v>
      </c>
      <c r="G11" s="1"/>
      <c r="H11" s="13">
        <f>(F11-F9)/(F7-F9)</f>
        <v>0.09547559015636514</v>
      </c>
      <c r="I11" s="91"/>
      <c r="J11" s="13">
        <f>ROUND((H11*I7),3)</f>
        <v>0.003</v>
      </c>
    </row>
    <row r="12" spans="2:10" ht="12.75">
      <c r="B12" s="4" t="s">
        <v>5</v>
      </c>
      <c r="C12" s="39">
        <v>37345.7</v>
      </c>
      <c r="D12" s="35">
        <v>-2796.8</v>
      </c>
      <c r="E12" s="9">
        <v>34350.9</v>
      </c>
      <c r="F12" s="50">
        <f t="shared" si="0"/>
        <v>1.0057640411168265</v>
      </c>
      <c r="G12" s="1"/>
      <c r="H12" s="13">
        <f>(F12-F9)/(F7-F9)</f>
        <v>0.08498999384098245</v>
      </c>
      <c r="I12" s="91"/>
      <c r="J12" s="13">
        <f>ROUND((H12*I7),3)</f>
        <v>0.003</v>
      </c>
    </row>
    <row r="13" spans="2:10" ht="12.75">
      <c r="B13" s="4" t="s">
        <v>6</v>
      </c>
      <c r="C13" s="39">
        <v>26017.2</v>
      </c>
      <c r="D13" s="35">
        <v>378.3</v>
      </c>
      <c r="E13" s="9">
        <v>26395.5</v>
      </c>
      <c r="F13" s="50">
        <f t="shared" si="0"/>
        <v>1</v>
      </c>
      <c r="G13" s="1"/>
      <c r="H13" s="13">
        <f>(F13-F9)/(F7-F9)</f>
        <v>0</v>
      </c>
      <c r="I13" s="91"/>
      <c r="J13" s="13">
        <f>ROUND((H13*I7),3)</f>
        <v>0</v>
      </c>
    </row>
    <row r="14" spans="2:10" ht="12.75">
      <c r="B14" s="4" t="s">
        <v>7</v>
      </c>
      <c r="C14" s="37">
        <v>14741.2</v>
      </c>
      <c r="D14" s="35">
        <v>-434.1</v>
      </c>
      <c r="E14" s="9">
        <v>14022.1</v>
      </c>
      <c r="F14" s="50">
        <f t="shared" si="0"/>
        <v>1.0203250583008252</v>
      </c>
      <c r="G14" s="1"/>
      <c r="H14" s="13">
        <f>(F14-F9)/(F7-F9)</f>
        <v>0.2996901904051325</v>
      </c>
      <c r="I14" s="91"/>
      <c r="J14" s="13">
        <f>ROUND((H14*I7),3)</f>
        <v>0.009</v>
      </c>
    </row>
    <row r="15" spans="2:10" ht="12.75">
      <c r="B15" s="4" t="s">
        <v>8</v>
      </c>
      <c r="C15" s="37">
        <v>20774.3</v>
      </c>
      <c r="D15" s="35">
        <v>-2642.9</v>
      </c>
      <c r="E15" s="9">
        <v>18131.3</v>
      </c>
      <c r="F15" s="50">
        <f t="shared" si="0"/>
        <v>1.0000055153243286</v>
      </c>
      <c r="G15" s="1"/>
      <c r="H15" s="13">
        <f>(F15-F9)/(F7-F9)</f>
        <v>8.132269899121223E-05</v>
      </c>
      <c r="I15" s="92"/>
      <c r="J15" s="13">
        <f>ROUND((H15*I7),3)</f>
        <v>0</v>
      </c>
    </row>
    <row r="16" spans="4:5" ht="12.75">
      <c r="D16" s="36"/>
      <c r="E16" s="10"/>
    </row>
  </sheetData>
  <sheetProtection/>
  <mergeCells count="2">
    <mergeCell ref="I7:I15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6"/>
  <sheetViews>
    <sheetView zoomScalePageLayoutView="0" workbookViewId="0" topLeftCell="B1">
      <selection activeCell="C23" sqref="C23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30.75" customHeight="1">
      <c r="B2" s="93" t="s">
        <v>49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88" t="s">
        <v>28</v>
      </c>
      <c r="D4" s="88"/>
    </row>
    <row r="6" spans="2:9" ht="67.5" customHeight="1">
      <c r="B6" s="3" t="s">
        <v>15</v>
      </c>
      <c r="C6" s="3" t="s">
        <v>50</v>
      </c>
      <c r="D6" s="3" t="s">
        <v>51</v>
      </c>
      <c r="E6" s="3" t="s">
        <v>10</v>
      </c>
      <c r="F6" s="3" t="s">
        <v>32</v>
      </c>
      <c r="G6" s="3" t="s">
        <v>45</v>
      </c>
      <c r="H6" s="3" t="s">
        <v>13</v>
      </c>
      <c r="I6" s="3" t="s">
        <v>14</v>
      </c>
    </row>
    <row r="7" spans="2:9" ht="12.75">
      <c r="B7" s="4" t="s">
        <v>0</v>
      </c>
      <c r="C7" s="9">
        <v>149027.8</v>
      </c>
      <c r="D7" s="9">
        <v>153598</v>
      </c>
      <c r="E7" s="18">
        <f>C7/D7*100</f>
        <v>97.02457063243011</v>
      </c>
      <c r="F7" s="11"/>
      <c r="G7" s="13">
        <f>(E7-E15)/(E12-E15)</f>
        <v>0.7283668262501128</v>
      </c>
      <c r="H7" s="90">
        <v>0.05</v>
      </c>
      <c r="I7" s="13">
        <f>ROUND((G7*H7),3)</f>
        <v>0.036</v>
      </c>
    </row>
    <row r="8" spans="2:9" ht="12.75">
      <c r="B8" s="4" t="s">
        <v>1</v>
      </c>
      <c r="C8" s="9">
        <v>12311.8</v>
      </c>
      <c r="D8" s="9">
        <v>13055.7</v>
      </c>
      <c r="E8" s="18">
        <f aca="true" t="shared" si="0" ref="E8:E15">C8/D8*100</f>
        <v>94.30210559372534</v>
      </c>
      <c r="F8" s="11"/>
      <c r="G8" s="13">
        <f>(E8-E15)/(E12-E15)</f>
        <v>0.41505812076846055</v>
      </c>
      <c r="H8" s="91"/>
      <c r="I8" s="13">
        <f>ROUND((G8*H7),3)</f>
        <v>0.021</v>
      </c>
    </row>
    <row r="9" spans="2:9" ht="12.75">
      <c r="B9" s="4" t="s">
        <v>2</v>
      </c>
      <c r="C9" s="9">
        <v>16034</v>
      </c>
      <c r="D9" s="9">
        <v>16381.6</v>
      </c>
      <c r="E9" s="18">
        <f t="shared" si="0"/>
        <v>97.87810714460126</v>
      </c>
      <c r="F9" s="11"/>
      <c r="G9" s="13">
        <f>(E9-E15)/(E12-E15)</f>
        <v>0.8265941371274982</v>
      </c>
      <c r="H9" s="91"/>
      <c r="I9" s="13">
        <f>ROUND((G9*H7),3)</f>
        <v>0.041</v>
      </c>
    </row>
    <row r="10" spans="2:9" ht="12.75">
      <c r="B10" s="4" t="s">
        <v>3</v>
      </c>
      <c r="C10" s="9">
        <v>73119.9</v>
      </c>
      <c r="D10" s="9">
        <v>73784.9</v>
      </c>
      <c r="E10" s="18">
        <f t="shared" si="0"/>
        <v>99.09873158329144</v>
      </c>
      <c r="F10" s="11"/>
      <c r="G10" s="13">
        <f>(E10-E15)/(E12-E15)</f>
        <v>0.9670669282665292</v>
      </c>
      <c r="H10" s="91"/>
      <c r="I10" s="13">
        <f>ROUND((G10*H7),3)</f>
        <v>0.048</v>
      </c>
    </row>
    <row r="11" spans="2:9" ht="12.75">
      <c r="B11" s="4" t="s">
        <v>4</v>
      </c>
      <c r="C11" s="9">
        <v>9281.6</v>
      </c>
      <c r="D11" s="9">
        <v>9499.7</v>
      </c>
      <c r="E11" s="18">
        <f t="shared" si="0"/>
        <v>97.70413802541132</v>
      </c>
      <c r="F11" s="11"/>
      <c r="G11" s="13">
        <f>(E11-E15)/(E12-E15)</f>
        <v>0.8065732961792108</v>
      </c>
      <c r="H11" s="91"/>
      <c r="I11" s="13">
        <f>ROUND((G11*H7),3)</f>
        <v>0.04</v>
      </c>
    </row>
    <row r="12" spans="2:9" ht="12.75">
      <c r="B12" s="4" t="s">
        <v>5</v>
      </c>
      <c r="C12" s="9">
        <v>34350.9</v>
      </c>
      <c r="D12" s="9">
        <v>34563.5</v>
      </c>
      <c r="E12" s="18">
        <f t="shared" si="0"/>
        <v>99.38490025605046</v>
      </c>
      <c r="F12" s="11" t="s">
        <v>102</v>
      </c>
      <c r="G12" s="13">
        <f>(E12-E15)/(E12-E15)</f>
        <v>1</v>
      </c>
      <c r="H12" s="91"/>
      <c r="I12" s="13">
        <f>ROUND((G12*H7),3)</f>
        <v>0.05</v>
      </c>
    </row>
    <row r="13" spans="2:9" ht="12.75">
      <c r="B13" s="4" t="s">
        <v>6</v>
      </c>
      <c r="C13" s="9">
        <v>26395.5</v>
      </c>
      <c r="D13" s="9">
        <v>28113.4</v>
      </c>
      <c r="E13" s="18">
        <f t="shared" si="0"/>
        <v>93.88939082430441</v>
      </c>
      <c r="F13" s="11"/>
      <c r="G13" s="13">
        <f>(E13-E15)/(E12-E15)</f>
        <v>0.36756177892307584</v>
      </c>
      <c r="H13" s="91"/>
      <c r="I13" s="13">
        <f>ROUND((G13*H7),3)</f>
        <v>0.018</v>
      </c>
    </row>
    <row r="14" spans="2:9" ht="12.75">
      <c r="B14" s="4" t="s">
        <v>7</v>
      </c>
      <c r="C14" s="9">
        <v>14022.1</v>
      </c>
      <c r="D14" s="9">
        <v>14226.2</v>
      </c>
      <c r="E14" s="18">
        <f t="shared" si="0"/>
        <v>98.56532313618534</v>
      </c>
      <c r="F14" s="11"/>
      <c r="G14" s="13">
        <f>(E14-E15)/(E12-E15)</f>
        <v>0.9056808286546498</v>
      </c>
      <c r="H14" s="91"/>
      <c r="I14" s="13">
        <f>ROUND((G14*H7),3)</f>
        <v>0.045</v>
      </c>
    </row>
    <row r="15" spans="2:9" ht="12.75">
      <c r="B15" s="4" t="s">
        <v>8</v>
      </c>
      <c r="C15" s="9">
        <v>18131.3</v>
      </c>
      <c r="D15" s="9">
        <v>19991.4</v>
      </c>
      <c r="E15" s="18">
        <f t="shared" si="0"/>
        <v>90.69549906459777</v>
      </c>
      <c r="F15" s="11" t="s">
        <v>103</v>
      </c>
      <c r="G15" s="13">
        <f>(E15-E15)/(E12-E15)</f>
        <v>0</v>
      </c>
      <c r="H15" s="92"/>
      <c r="I15" s="13">
        <f>ROUND((G15*H7),3)</f>
        <v>0</v>
      </c>
    </row>
    <row r="16" spans="3:9" ht="12.75">
      <c r="C16" s="36"/>
      <c r="D16" s="36"/>
      <c r="I16" s="19"/>
    </row>
  </sheetData>
  <sheetProtection/>
  <mergeCells count="3">
    <mergeCell ref="C4:D4"/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K19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0.57421875" style="0" customWidth="1"/>
    <col min="6" max="6" width="24.140625" style="0" customWidth="1"/>
    <col min="7" max="7" width="10.8515625" style="0" customWidth="1"/>
    <col min="8" max="8" width="13.57421875" style="0" customWidth="1"/>
    <col min="9" max="9" width="13.8515625" style="0" customWidth="1"/>
    <col min="10" max="10" width="10.57421875" style="0" customWidth="1"/>
    <col min="11" max="11" width="10.28125" style="0" customWidth="1"/>
  </cols>
  <sheetData>
    <row r="2" spans="2:11" ht="30.75" customHeight="1">
      <c r="B2" s="93" t="s">
        <v>52</v>
      </c>
      <c r="C2" s="94"/>
      <c r="D2" s="94"/>
      <c r="E2" s="94"/>
      <c r="F2" s="94"/>
      <c r="G2" s="94"/>
      <c r="H2" s="94"/>
      <c r="I2" s="94"/>
      <c r="J2" s="94"/>
      <c r="K2" s="95"/>
    </row>
    <row r="3" ht="13.5" thickBot="1"/>
    <row r="4" spans="2:6" ht="13.5" thickBot="1">
      <c r="B4" s="2" t="s">
        <v>9</v>
      </c>
      <c r="C4" s="88" t="s">
        <v>53</v>
      </c>
      <c r="D4" s="88"/>
      <c r="E4" s="6"/>
      <c r="F4" s="6"/>
    </row>
    <row r="6" spans="2:11" ht="99.75" customHeight="1">
      <c r="B6" s="3" t="s">
        <v>15</v>
      </c>
      <c r="C6" s="3" t="s">
        <v>177</v>
      </c>
      <c r="D6" s="3" t="s">
        <v>54</v>
      </c>
      <c r="E6" s="3" t="s">
        <v>37</v>
      </c>
      <c r="F6" s="3" t="s">
        <v>55</v>
      </c>
      <c r="G6" s="3" t="s">
        <v>10</v>
      </c>
      <c r="H6" s="3" t="s">
        <v>32</v>
      </c>
      <c r="I6" s="3" t="s">
        <v>45</v>
      </c>
      <c r="J6" s="3" t="s">
        <v>13</v>
      </c>
      <c r="K6" s="3" t="s">
        <v>14</v>
      </c>
    </row>
    <row r="7" spans="2:11" ht="12.75">
      <c r="B7" s="4" t="s">
        <v>0</v>
      </c>
      <c r="C7" s="39">
        <v>108290</v>
      </c>
      <c r="D7" s="21">
        <v>0</v>
      </c>
      <c r="E7" s="9">
        <v>149027.8</v>
      </c>
      <c r="F7" s="39">
        <v>12.4</v>
      </c>
      <c r="G7" s="15">
        <f>(C7-D7)/(E7-F7)*100</f>
        <v>72.6703414546416</v>
      </c>
      <c r="H7" s="1"/>
      <c r="I7" s="13">
        <f>(G7-G11)/(G10-G11)</f>
        <v>0.5888767882177836</v>
      </c>
      <c r="J7" s="90">
        <v>0.05</v>
      </c>
      <c r="K7" s="13">
        <f>ROUND((I7*J7),3)</f>
        <v>0.029</v>
      </c>
    </row>
    <row r="8" spans="2:11" ht="12.75">
      <c r="B8" s="4" t="s">
        <v>1</v>
      </c>
      <c r="C8" s="39">
        <v>7309.2</v>
      </c>
      <c r="D8" s="21">
        <v>0</v>
      </c>
      <c r="E8" s="9">
        <v>12311.8</v>
      </c>
      <c r="F8" s="39">
        <v>204.9</v>
      </c>
      <c r="G8" s="15">
        <f aca="true" t="shared" si="0" ref="G8:G15">(C8-D8)/(E8-F8)*100</f>
        <v>60.37218445679736</v>
      </c>
      <c r="H8" s="1"/>
      <c r="I8" s="13">
        <f>(G8-G11)/(G10-G11)</f>
        <v>0.264849726383992</v>
      </c>
      <c r="J8" s="91"/>
      <c r="K8" s="13">
        <f>ROUND((I8*J7),3)</f>
        <v>0.013</v>
      </c>
    </row>
    <row r="9" spans="2:11" ht="12.75">
      <c r="B9" s="4" t="s">
        <v>2</v>
      </c>
      <c r="C9" s="39">
        <v>11095</v>
      </c>
      <c r="D9" s="21">
        <v>0</v>
      </c>
      <c r="E9" s="9">
        <v>16034</v>
      </c>
      <c r="F9" s="39">
        <v>204.9</v>
      </c>
      <c r="G9" s="15">
        <f t="shared" si="0"/>
        <v>70.09242471144917</v>
      </c>
      <c r="H9" s="1"/>
      <c r="I9" s="13">
        <f>(G9-G11)/(G10-G11)</f>
        <v>0.5209548395798531</v>
      </c>
      <c r="J9" s="91"/>
      <c r="K9" s="13">
        <f>ROUND((I9*J7),3)</f>
        <v>0.026</v>
      </c>
    </row>
    <row r="10" spans="2:11" ht="12.75">
      <c r="B10" s="4" t="s">
        <v>3</v>
      </c>
      <c r="C10" s="39">
        <v>64365.1</v>
      </c>
      <c r="D10" s="21">
        <v>0</v>
      </c>
      <c r="E10" s="9">
        <v>73119.9</v>
      </c>
      <c r="F10" s="39">
        <v>204.9</v>
      </c>
      <c r="G10" s="15">
        <f t="shared" si="0"/>
        <v>88.27415483782485</v>
      </c>
      <c r="H10" s="1" t="s">
        <v>102</v>
      </c>
      <c r="I10" s="13">
        <f>(G10-G11)/(G10-G11)</f>
        <v>1</v>
      </c>
      <c r="J10" s="91"/>
      <c r="K10" s="13">
        <f>ROUND((I10*J7),3)</f>
        <v>0.05</v>
      </c>
    </row>
    <row r="11" spans="2:11" ht="12.75">
      <c r="B11" s="4" t="s">
        <v>4</v>
      </c>
      <c r="C11" s="39">
        <v>4567.4</v>
      </c>
      <c r="D11" s="21">
        <v>0</v>
      </c>
      <c r="E11" s="9">
        <v>9281.6</v>
      </c>
      <c r="F11" s="39">
        <v>204.9</v>
      </c>
      <c r="G11" s="15">
        <f t="shared" si="0"/>
        <v>50.3200502385228</v>
      </c>
      <c r="H11" s="1" t="s">
        <v>103</v>
      </c>
      <c r="I11" s="13">
        <f>(G11-G11)/(G10-G11)</f>
        <v>0</v>
      </c>
      <c r="J11" s="91"/>
      <c r="K11" s="13">
        <f>ROUND((I11*J7),3)</f>
        <v>0</v>
      </c>
    </row>
    <row r="12" spans="2:11" ht="12.75">
      <c r="B12" s="4" t="s">
        <v>5</v>
      </c>
      <c r="C12" s="39">
        <v>26572.5</v>
      </c>
      <c r="D12" s="21">
        <v>0</v>
      </c>
      <c r="E12" s="9">
        <v>34350.9</v>
      </c>
      <c r="F12" s="39">
        <v>204.2</v>
      </c>
      <c r="G12" s="15">
        <f t="shared" si="0"/>
        <v>77.81864718991878</v>
      </c>
      <c r="H12" s="1"/>
      <c r="I12" s="13">
        <f>(G12-G11)/(G10-G11)</f>
        <v>0.7245223472325483</v>
      </c>
      <c r="J12" s="91"/>
      <c r="K12" s="13">
        <f>ROUND((I12*J7),3)</f>
        <v>0.036</v>
      </c>
    </row>
    <row r="13" spans="2:11" ht="12.75">
      <c r="B13" s="4" t="s">
        <v>6</v>
      </c>
      <c r="C13" s="39">
        <v>21166.7</v>
      </c>
      <c r="D13" s="21">
        <v>0</v>
      </c>
      <c r="E13" s="9">
        <v>26395.5</v>
      </c>
      <c r="F13" s="39">
        <v>204.9</v>
      </c>
      <c r="G13" s="15">
        <f t="shared" si="0"/>
        <v>80.81792704252672</v>
      </c>
      <c r="H13" s="1"/>
      <c r="I13" s="13">
        <f>(G13-G11)/(G10-G11)</f>
        <v>0.8035462073465633</v>
      </c>
      <c r="J13" s="91"/>
      <c r="K13" s="13">
        <f>ROUND((I13*J7),3)</f>
        <v>0.04</v>
      </c>
    </row>
    <row r="14" spans="2:11" ht="12.75">
      <c r="B14" s="4" t="s">
        <v>7</v>
      </c>
      <c r="C14" s="39">
        <v>8861</v>
      </c>
      <c r="D14" s="21">
        <v>0</v>
      </c>
      <c r="E14" s="9">
        <v>14022.1</v>
      </c>
      <c r="F14" s="39">
        <v>204.9</v>
      </c>
      <c r="G14" s="15">
        <f t="shared" si="0"/>
        <v>64.13021451524187</v>
      </c>
      <c r="H14" s="1"/>
      <c r="I14" s="13">
        <f>(G14-G11)/(G10-G11)</f>
        <v>0.3638648420907032</v>
      </c>
      <c r="J14" s="91"/>
      <c r="K14" s="13">
        <f>ROUND((I14*J7),3)</f>
        <v>0.018</v>
      </c>
    </row>
    <row r="15" spans="2:11" ht="12.75">
      <c r="B15" s="4" t="s">
        <v>8</v>
      </c>
      <c r="C15" s="39">
        <v>12867.2</v>
      </c>
      <c r="D15" s="21">
        <v>0</v>
      </c>
      <c r="E15" s="9">
        <v>18131.3</v>
      </c>
      <c r="F15" s="39">
        <v>204.9</v>
      </c>
      <c r="G15" s="15">
        <f t="shared" si="0"/>
        <v>71.77793645126742</v>
      </c>
      <c r="H15" s="1"/>
      <c r="I15" s="13">
        <f>(G15-G11)/(G10-G11)</f>
        <v>0.5653640479543605</v>
      </c>
      <c r="J15" s="92"/>
      <c r="K15" s="13">
        <f>ROUND((I15*J7),3)</f>
        <v>0.028</v>
      </c>
    </row>
    <row r="16" spans="3:6" ht="12.75">
      <c r="C16" s="70"/>
      <c r="D16" s="32"/>
      <c r="E16" s="82"/>
      <c r="F16" s="81"/>
    </row>
    <row r="17" spans="5:6" ht="12.75">
      <c r="E17" s="25"/>
      <c r="F17" s="25"/>
    </row>
    <row r="19" ht="12.75">
      <c r="B19" s="25"/>
    </row>
  </sheetData>
  <sheetProtection/>
  <mergeCells count="3">
    <mergeCell ref="C4:D4"/>
    <mergeCell ref="J7:J15"/>
    <mergeCell ref="B2:K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K17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0.140625" style="0" bestFit="1" customWidth="1"/>
    <col min="3" max="3" width="37.140625" style="0" customWidth="1"/>
    <col min="4" max="4" width="30.140625" style="0" customWidth="1"/>
    <col min="5" max="6" width="21.421875" style="0" customWidth="1"/>
    <col min="7" max="7" width="10.8515625" style="0" customWidth="1"/>
    <col min="8" max="8" width="13.57421875" style="0" customWidth="1"/>
    <col min="9" max="9" width="13.8515625" style="0" customWidth="1"/>
    <col min="10" max="10" width="10.57421875" style="0" customWidth="1"/>
    <col min="11" max="11" width="10.28125" style="0" customWidth="1"/>
  </cols>
  <sheetData>
    <row r="2" spans="2:11" ht="30.75" customHeight="1">
      <c r="B2" s="93" t="s">
        <v>148</v>
      </c>
      <c r="C2" s="94"/>
      <c r="D2" s="94"/>
      <c r="E2" s="94"/>
      <c r="F2" s="94"/>
      <c r="G2" s="94"/>
      <c r="H2" s="94"/>
      <c r="I2" s="94"/>
      <c r="J2" s="94"/>
      <c r="K2" s="95"/>
    </row>
    <row r="3" ht="13.5" thickBot="1"/>
    <row r="4" spans="2:6" ht="13.5" thickBot="1">
      <c r="B4" s="2" t="s">
        <v>9</v>
      </c>
      <c r="C4" s="88" t="s">
        <v>153</v>
      </c>
      <c r="D4" s="88"/>
      <c r="E4" s="61"/>
      <c r="F4" s="61"/>
    </row>
    <row r="6" spans="2:11" ht="146.25" customHeight="1">
      <c r="B6" s="3" t="s">
        <v>15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10</v>
      </c>
      <c r="H6" s="3" t="s">
        <v>32</v>
      </c>
      <c r="I6" s="3" t="s">
        <v>45</v>
      </c>
      <c r="J6" s="3" t="s">
        <v>13</v>
      </c>
      <c r="K6" s="3" t="s">
        <v>14</v>
      </c>
    </row>
    <row r="7" spans="2:11" ht="12.75">
      <c r="B7" s="4" t="s">
        <v>0</v>
      </c>
      <c r="C7" s="15">
        <v>320</v>
      </c>
      <c r="D7" s="15">
        <v>0</v>
      </c>
      <c r="E7" s="9">
        <v>149027.8</v>
      </c>
      <c r="F7" s="39">
        <v>12.4</v>
      </c>
      <c r="G7" s="18">
        <f>(C7+D7)/(E7-F7)</f>
        <v>0.0021474290576678655</v>
      </c>
      <c r="H7" s="11"/>
      <c r="I7" s="15">
        <f>(G7-G8)/(G15-G8)</f>
        <v>0.09745739812500562</v>
      </c>
      <c r="J7" s="90">
        <v>0.04</v>
      </c>
      <c r="K7" s="13">
        <f>ROUND((I7*J7),3)</f>
        <v>0.004</v>
      </c>
    </row>
    <row r="8" spans="2:11" ht="12.75">
      <c r="B8" s="4" t="s">
        <v>1</v>
      </c>
      <c r="C8" s="15">
        <v>0</v>
      </c>
      <c r="D8" s="15">
        <v>0</v>
      </c>
      <c r="E8" s="9">
        <v>12311.8</v>
      </c>
      <c r="F8" s="39">
        <v>204.9</v>
      </c>
      <c r="G8" s="18">
        <f aca="true" t="shared" si="0" ref="G8:G15">(C8+D8)/(E8-F8)</f>
        <v>0</v>
      </c>
      <c r="H8" s="11" t="s">
        <v>103</v>
      </c>
      <c r="I8" s="15">
        <f>(G8-G8)/(G15-G8)</f>
        <v>0</v>
      </c>
      <c r="J8" s="91"/>
      <c r="K8" s="13">
        <f>I8*J7</f>
        <v>0</v>
      </c>
    </row>
    <row r="9" spans="2:11" ht="12.75">
      <c r="B9" s="4" t="s">
        <v>2</v>
      </c>
      <c r="C9" s="15">
        <v>0</v>
      </c>
      <c r="D9" s="15">
        <v>0</v>
      </c>
      <c r="E9" s="9">
        <v>16034</v>
      </c>
      <c r="F9" s="39">
        <v>204.9</v>
      </c>
      <c r="G9" s="18">
        <f t="shared" si="0"/>
        <v>0</v>
      </c>
      <c r="H9" s="11"/>
      <c r="I9" s="15">
        <f>(G9-G8)/(G15-G8)</f>
        <v>0</v>
      </c>
      <c r="J9" s="91"/>
      <c r="K9" s="13">
        <f>I9*J7</f>
        <v>0</v>
      </c>
    </row>
    <row r="10" spans="2:11" ht="12.75">
      <c r="B10" s="4" t="s">
        <v>3</v>
      </c>
      <c r="C10" s="15">
        <v>950</v>
      </c>
      <c r="D10" s="15">
        <v>0</v>
      </c>
      <c r="E10" s="9">
        <v>73119.9</v>
      </c>
      <c r="F10" s="39">
        <v>204.9</v>
      </c>
      <c r="G10" s="18">
        <f t="shared" si="0"/>
        <v>0.013028869231296715</v>
      </c>
      <c r="H10" s="11"/>
      <c r="I10" s="15">
        <f>(G10-G8)/(G15-G8)</f>
        <v>0.5912929655390314</v>
      </c>
      <c r="J10" s="91"/>
      <c r="K10" s="13">
        <f>I10*J7</f>
        <v>0.02365171862156126</v>
      </c>
    </row>
    <row r="11" spans="2:11" ht="12.75">
      <c r="B11" s="4" t="s">
        <v>4</v>
      </c>
      <c r="C11" s="15">
        <v>0</v>
      </c>
      <c r="D11" s="15">
        <v>0</v>
      </c>
      <c r="E11" s="9">
        <v>9281.6</v>
      </c>
      <c r="F11" s="39">
        <v>204.9</v>
      </c>
      <c r="G11" s="18">
        <f t="shared" si="0"/>
        <v>0</v>
      </c>
      <c r="H11" s="11"/>
      <c r="I11" s="15">
        <f>(G11-G8)/(G15-G8)</f>
        <v>0</v>
      </c>
      <c r="J11" s="91"/>
      <c r="K11" s="13">
        <f>I11*J7</f>
        <v>0</v>
      </c>
    </row>
    <row r="12" spans="2:11" ht="12.75">
      <c r="B12" s="4" t="s">
        <v>5</v>
      </c>
      <c r="C12" s="15">
        <v>0</v>
      </c>
      <c r="D12" s="15">
        <v>0</v>
      </c>
      <c r="E12" s="9">
        <v>34350.9</v>
      </c>
      <c r="F12" s="39">
        <v>204.2</v>
      </c>
      <c r="G12" s="18">
        <f t="shared" si="0"/>
        <v>0</v>
      </c>
      <c r="H12" s="11"/>
      <c r="I12" s="15">
        <f>(G12-G8)/(G15-G8)</f>
        <v>0</v>
      </c>
      <c r="J12" s="91"/>
      <c r="K12" s="13">
        <f>ROUND((I12*J7),3)</f>
        <v>0</v>
      </c>
    </row>
    <row r="13" spans="2:11" ht="12.75">
      <c r="B13" s="4" t="s">
        <v>6</v>
      </c>
      <c r="C13" s="15">
        <v>0</v>
      </c>
      <c r="D13" s="15">
        <v>0</v>
      </c>
      <c r="E13" s="9">
        <v>26395.5</v>
      </c>
      <c r="F13" s="39">
        <v>204.9</v>
      </c>
      <c r="G13" s="18">
        <f t="shared" si="0"/>
        <v>0</v>
      </c>
      <c r="H13" s="11"/>
      <c r="I13" s="15">
        <f>(G13-G8)/(G15-G8)</f>
        <v>0</v>
      </c>
      <c r="J13" s="91"/>
      <c r="K13" s="13">
        <f>I13*J7</f>
        <v>0</v>
      </c>
    </row>
    <row r="14" spans="2:11" ht="12.75">
      <c r="B14" s="4" t="s">
        <v>7</v>
      </c>
      <c r="C14" s="15">
        <v>0</v>
      </c>
      <c r="D14" s="15">
        <v>0</v>
      </c>
      <c r="E14" s="9">
        <v>14022.1</v>
      </c>
      <c r="F14" s="39">
        <v>204.9</v>
      </c>
      <c r="G14" s="18">
        <f t="shared" si="0"/>
        <v>0</v>
      </c>
      <c r="H14" s="11"/>
      <c r="I14" s="15">
        <f>(G14-G8)/(G15-G8)</f>
        <v>0</v>
      </c>
      <c r="J14" s="91"/>
      <c r="K14" s="13">
        <f>ROUND((I14*J7),3)</f>
        <v>0</v>
      </c>
    </row>
    <row r="15" spans="2:11" ht="12.75">
      <c r="B15" s="4" t="s">
        <v>8</v>
      </c>
      <c r="C15" s="15">
        <v>395</v>
      </c>
      <c r="D15" s="15">
        <v>0</v>
      </c>
      <c r="E15" s="9">
        <v>18131.3</v>
      </c>
      <c r="F15" s="39">
        <v>204.9</v>
      </c>
      <c r="G15" s="18">
        <f t="shared" si="0"/>
        <v>0.022034541235273118</v>
      </c>
      <c r="H15" s="11" t="s">
        <v>102</v>
      </c>
      <c r="I15" s="15">
        <f>(G15-G8)/(G15-G8)</f>
        <v>1</v>
      </c>
      <c r="J15" s="92"/>
      <c r="K15" s="13">
        <f>ROUND((I15*J7),3)</f>
        <v>0.04</v>
      </c>
    </row>
    <row r="16" spans="3:6" s="25" customFormat="1" ht="12.75">
      <c r="C16" s="80"/>
      <c r="D16" s="80"/>
      <c r="E16" s="80"/>
      <c r="F16" s="80"/>
    </row>
    <row r="17" ht="12.75">
      <c r="B17" s="25"/>
    </row>
  </sheetData>
  <sheetProtection/>
  <mergeCells count="3">
    <mergeCell ref="C4:D4"/>
    <mergeCell ref="J7:J15"/>
    <mergeCell ref="B2:K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27"/>
  <sheetViews>
    <sheetView zoomScalePageLayoutView="0" workbookViewId="0" topLeftCell="B1">
      <selection activeCell="C20" sqref="C20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41.25" customHeight="1">
      <c r="B2" s="93" t="s">
        <v>56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88" t="s">
        <v>57</v>
      </c>
      <c r="D4" s="88"/>
    </row>
    <row r="6" spans="2:9" ht="84" customHeight="1">
      <c r="B6" s="3" t="s">
        <v>15</v>
      </c>
      <c r="C6" s="3" t="s">
        <v>58</v>
      </c>
      <c r="D6" s="3" t="s">
        <v>59</v>
      </c>
      <c r="E6" s="3" t="s">
        <v>10</v>
      </c>
      <c r="F6" s="16" t="s">
        <v>32</v>
      </c>
      <c r="G6" s="3" t="s">
        <v>33</v>
      </c>
      <c r="H6" s="3" t="s">
        <v>13</v>
      </c>
      <c r="I6" s="3" t="s">
        <v>14</v>
      </c>
    </row>
    <row r="7" spans="2:9" ht="12.75">
      <c r="B7" s="4" t="s">
        <v>0</v>
      </c>
      <c r="C7" s="37">
        <v>16906.7</v>
      </c>
      <c r="D7" s="9">
        <f>149027.8-12.4</f>
        <v>149015.4</v>
      </c>
      <c r="E7" s="18">
        <f>C7/D7*100</f>
        <v>11.345605890397906</v>
      </c>
      <c r="F7" s="11"/>
      <c r="G7" s="13">
        <f>(E11-E7)/(E11-E10)</f>
        <v>0.8273825645170457</v>
      </c>
      <c r="H7" s="90">
        <v>0.05</v>
      </c>
      <c r="I7" s="13">
        <f>ROUND((G7*H7),3)</f>
        <v>0.041</v>
      </c>
    </row>
    <row r="8" spans="2:9" ht="12.75">
      <c r="B8" s="4" t="s">
        <v>1</v>
      </c>
      <c r="C8" s="37">
        <v>3146.7</v>
      </c>
      <c r="D8" s="9">
        <f>12311.8-204.9</f>
        <v>12106.9</v>
      </c>
      <c r="E8" s="18">
        <f aca="true" t="shared" si="0" ref="E8:E15">C8/D8*100</f>
        <v>25.990963830542913</v>
      </c>
      <c r="F8" s="11"/>
      <c r="G8" s="13">
        <f>(E11-E8)/(E11-E10)</f>
        <v>0.2388465452529517</v>
      </c>
      <c r="H8" s="91"/>
      <c r="I8" s="13">
        <f>ROUND((G8*H8),3)</f>
        <v>0</v>
      </c>
    </row>
    <row r="9" spans="2:9" ht="12.75">
      <c r="B9" s="4" t="s">
        <v>2</v>
      </c>
      <c r="C9" s="37">
        <v>3527.2</v>
      </c>
      <c r="D9" s="9">
        <f>16034-204.9</f>
        <v>15829.1</v>
      </c>
      <c r="E9" s="18">
        <f t="shared" si="0"/>
        <v>22.2830104048872</v>
      </c>
      <c r="F9" s="11"/>
      <c r="G9" s="13">
        <f>(E11-E9)/(E11-E10)</f>
        <v>0.3878537704550192</v>
      </c>
      <c r="H9" s="91"/>
      <c r="I9" s="13">
        <f>ROUND((G9*H7),3)</f>
        <v>0.019</v>
      </c>
    </row>
    <row r="10" spans="2:9" ht="12.75">
      <c r="B10" s="4" t="s">
        <v>3</v>
      </c>
      <c r="C10" s="37">
        <v>5140.6</v>
      </c>
      <c r="D10" s="9">
        <f>73119.9-204.9</f>
        <v>72915</v>
      </c>
      <c r="E10" s="18">
        <f t="shared" si="0"/>
        <v>7.050126860042516</v>
      </c>
      <c r="F10" s="11" t="s">
        <v>103</v>
      </c>
      <c r="G10" s="13">
        <f>(E11-E10)/(E11-E10)</f>
        <v>1</v>
      </c>
      <c r="H10" s="91"/>
      <c r="I10" s="13">
        <f>ROUND((G10*H7),3)</f>
        <v>0.05</v>
      </c>
    </row>
    <row r="11" spans="2:9" ht="12.75">
      <c r="B11" s="4" t="s">
        <v>4</v>
      </c>
      <c r="C11" s="37">
        <v>2898.6</v>
      </c>
      <c r="D11" s="9">
        <f>9281.6-204.9</f>
        <v>9076.7</v>
      </c>
      <c r="E11" s="18">
        <f t="shared" si="0"/>
        <v>31.93451364482686</v>
      </c>
      <c r="F11" s="11" t="s">
        <v>102</v>
      </c>
      <c r="G11" s="13">
        <f>(E11-E11)/(E11-E10)</f>
        <v>0</v>
      </c>
      <c r="H11" s="91"/>
      <c r="I11" s="13">
        <f>ROUND((H7*G11),3)</f>
        <v>0</v>
      </c>
    </row>
    <row r="12" spans="2:9" ht="12.75">
      <c r="B12" s="4" t="s">
        <v>5</v>
      </c>
      <c r="C12" s="37">
        <v>4885.2</v>
      </c>
      <c r="D12" s="9">
        <f>34350.9-204.2</f>
        <v>34146.700000000004</v>
      </c>
      <c r="E12" s="18">
        <f t="shared" si="0"/>
        <v>14.306506924534432</v>
      </c>
      <c r="F12" s="11"/>
      <c r="G12" s="13">
        <f>(E11-E12)/(E11-E10)</f>
        <v>0.7083962676175385</v>
      </c>
      <c r="H12" s="91"/>
      <c r="I12" s="13">
        <f>ROUND((G12*H7),3)</f>
        <v>0.035</v>
      </c>
    </row>
    <row r="13" spans="2:9" ht="12.75">
      <c r="B13" s="4" t="s">
        <v>6</v>
      </c>
      <c r="C13" s="37">
        <v>3344</v>
      </c>
      <c r="D13" s="9">
        <f>26395.5-204.9</f>
        <v>26190.6</v>
      </c>
      <c r="E13" s="18">
        <f t="shared" si="0"/>
        <v>12.767939642467146</v>
      </c>
      <c r="F13" s="11"/>
      <c r="G13" s="13">
        <f>(E11-E13)/(E11-E10)</f>
        <v>0.7702248871199507</v>
      </c>
      <c r="H13" s="91"/>
      <c r="I13" s="13">
        <f>ROUND((G13*H7),3)</f>
        <v>0.039</v>
      </c>
    </row>
    <row r="14" spans="2:9" ht="12.75">
      <c r="B14" s="4" t="s">
        <v>7</v>
      </c>
      <c r="C14" s="37">
        <v>3268.2</v>
      </c>
      <c r="D14" s="9">
        <f>14022.1-204.9</f>
        <v>13817.2</v>
      </c>
      <c r="E14" s="18">
        <f t="shared" si="0"/>
        <v>23.653127985409487</v>
      </c>
      <c r="F14" s="11"/>
      <c r="G14" s="13">
        <f>(E11-E14)/(E11-E10)</f>
        <v>0.33279444380285306</v>
      </c>
      <c r="H14" s="91"/>
      <c r="I14" s="13">
        <f>ROUND((G14*H7),3)</f>
        <v>0.017</v>
      </c>
    </row>
    <row r="15" spans="2:9" ht="12.75">
      <c r="B15" s="4" t="s">
        <v>8</v>
      </c>
      <c r="C15" s="35">
        <v>3602.8</v>
      </c>
      <c r="D15" s="9">
        <f>18131.3-204.9</f>
        <v>17926.399999999998</v>
      </c>
      <c r="E15" s="18">
        <f t="shared" si="0"/>
        <v>20.09773295251696</v>
      </c>
      <c r="F15" s="11"/>
      <c r="G15" s="13">
        <f>(E11-E15)/(E11-E10)</f>
        <v>0.4756709817558191</v>
      </c>
      <c r="H15" s="92"/>
      <c r="I15" s="13">
        <f>ROUND((G15*H7),3)</f>
        <v>0.024</v>
      </c>
    </row>
    <row r="16" spans="3:4" ht="12.75">
      <c r="C16" s="36"/>
      <c r="D16" s="10"/>
    </row>
    <row r="17" spans="2:6" ht="12.75">
      <c r="B17" s="25"/>
      <c r="C17" s="33"/>
      <c r="D17" s="33"/>
      <c r="E17" s="33"/>
      <c r="F17" s="33"/>
    </row>
    <row r="18" spans="3:6" ht="12.75">
      <c r="C18" s="33"/>
      <c r="D18" s="33"/>
      <c r="E18" s="33"/>
      <c r="F18" s="33"/>
    </row>
    <row r="19" spans="3:6" ht="12.75">
      <c r="C19" s="33"/>
      <c r="D19" s="33"/>
      <c r="E19" s="33"/>
      <c r="F19" s="33"/>
    </row>
    <row r="20" spans="3:6" ht="12.75">
      <c r="C20" s="33"/>
      <c r="D20" s="33"/>
      <c r="E20" s="33"/>
      <c r="F20" s="33"/>
    </row>
    <row r="21" spans="3:6" ht="12.75">
      <c r="C21" s="33"/>
      <c r="D21" s="33"/>
      <c r="E21" s="33"/>
      <c r="F21" s="33"/>
    </row>
    <row r="22" spans="3:6" ht="12.75">
      <c r="C22" s="33"/>
      <c r="D22" s="33"/>
      <c r="E22" s="33"/>
      <c r="F22" s="33"/>
    </row>
    <row r="23" spans="3:6" ht="12.75">
      <c r="C23" s="33"/>
      <c r="D23" s="33"/>
      <c r="E23" s="33"/>
      <c r="F23" s="33"/>
    </row>
    <row r="24" spans="3:6" ht="12.75">
      <c r="C24" s="33"/>
      <c r="D24" s="33"/>
      <c r="E24" s="33"/>
      <c r="F24" s="33"/>
    </row>
    <row r="25" spans="3:6" ht="12.75">
      <c r="C25" s="33"/>
      <c r="D25" s="33"/>
      <c r="E25" s="33"/>
      <c r="F25" s="33"/>
    </row>
    <row r="26" spans="3:6" ht="12.75">
      <c r="C26" s="33"/>
      <c r="D26" s="33"/>
      <c r="E26" s="33"/>
      <c r="F26" s="33"/>
    </row>
    <row r="27" spans="3:6" ht="12.75">
      <c r="C27" s="33"/>
      <c r="D27" s="33"/>
      <c r="E27" s="33"/>
      <c r="F27" s="33"/>
    </row>
  </sheetData>
  <sheetProtection/>
  <mergeCells count="3">
    <mergeCell ref="C4:D4"/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6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  <col min="5" max="5" width="10.851562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41.25" customHeight="1">
      <c r="B2" s="93" t="s">
        <v>120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5" t="s">
        <v>31</v>
      </c>
      <c r="D4" s="6"/>
    </row>
    <row r="6" spans="2:9" ht="120.75" customHeight="1">
      <c r="B6" s="3" t="s">
        <v>15</v>
      </c>
      <c r="C6" s="3" t="s">
        <v>60</v>
      </c>
      <c r="D6" s="3" t="s">
        <v>108</v>
      </c>
      <c r="E6" s="3" t="s">
        <v>10</v>
      </c>
      <c r="F6" s="3" t="s">
        <v>32</v>
      </c>
      <c r="G6" s="3" t="s">
        <v>33</v>
      </c>
      <c r="H6" s="3" t="s">
        <v>13</v>
      </c>
      <c r="I6" s="3" t="s">
        <v>14</v>
      </c>
    </row>
    <row r="7" spans="2:9" ht="12.75">
      <c r="B7" s="4" t="s">
        <v>0</v>
      </c>
      <c r="C7" s="35">
        <v>111229.6</v>
      </c>
      <c r="D7" s="9">
        <v>96961</v>
      </c>
      <c r="E7" s="13">
        <f aca="true" t="shared" si="0" ref="E7:E15">C7/D7</f>
        <v>1.1471581357452998</v>
      </c>
      <c r="F7" s="1"/>
      <c r="G7" s="13">
        <f>(E9-E7)/(E9-E13)</f>
        <v>0.9234094305891012</v>
      </c>
      <c r="H7" s="90">
        <v>0.05</v>
      </c>
      <c r="I7" s="13">
        <f>ROUND((G7*H7),3)</f>
        <v>0.046</v>
      </c>
    </row>
    <row r="8" spans="2:9" ht="12.75">
      <c r="B8" s="4" t="s">
        <v>1</v>
      </c>
      <c r="C8" s="35">
        <v>10137.8</v>
      </c>
      <c r="D8" s="9">
        <v>8881.3</v>
      </c>
      <c r="E8" s="13">
        <f t="shared" si="0"/>
        <v>1.1414770360195017</v>
      </c>
      <c r="F8" s="1"/>
      <c r="G8" s="13">
        <f>(E9-E8)/(E9-E13)</f>
        <v>0.937914016346007</v>
      </c>
      <c r="H8" s="91"/>
      <c r="I8" s="13">
        <f>ROUND((G8*H7),3)</f>
        <v>0.047</v>
      </c>
    </row>
    <row r="9" spans="2:9" ht="12.75">
      <c r="B9" s="4" t="s">
        <v>2</v>
      </c>
      <c r="C9" s="35">
        <v>7863.9</v>
      </c>
      <c r="D9" s="9">
        <v>5211.9</v>
      </c>
      <c r="E9" s="13">
        <f t="shared" si="0"/>
        <v>1.5088355494157601</v>
      </c>
      <c r="F9" s="1" t="s">
        <v>102</v>
      </c>
      <c r="G9" s="13">
        <f>(E9-E9)/(E9-E13)</f>
        <v>0</v>
      </c>
      <c r="H9" s="91"/>
      <c r="I9" s="13">
        <f>ROUND((G9*H7),3)</f>
        <v>0</v>
      </c>
    </row>
    <row r="10" spans="2:9" ht="12.75">
      <c r="B10" s="4" t="s">
        <v>3</v>
      </c>
      <c r="C10" s="35">
        <v>29379.3</v>
      </c>
      <c r="D10" s="9">
        <v>23138.5</v>
      </c>
      <c r="E10" s="13">
        <f t="shared" si="0"/>
        <v>1.269714977202498</v>
      </c>
      <c r="F10" s="1"/>
      <c r="G10" s="13">
        <f>(E9-E10)/(E9-E13)</f>
        <v>0.6105058902870122</v>
      </c>
      <c r="H10" s="91"/>
      <c r="I10" s="13">
        <f>ROUND((G10*H7),3)</f>
        <v>0.031</v>
      </c>
    </row>
    <row r="11" spans="2:9" ht="12.75">
      <c r="B11" s="4" t="s">
        <v>4</v>
      </c>
      <c r="C11" s="35">
        <v>5806.7</v>
      </c>
      <c r="D11" s="9">
        <v>4092.7</v>
      </c>
      <c r="E11" s="13">
        <f t="shared" si="0"/>
        <v>1.4187944388789797</v>
      </c>
      <c r="F11" s="1"/>
      <c r="G11" s="13">
        <f>(E9-E11)/(E9-E13)</f>
        <v>0.22988665442663087</v>
      </c>
      <c r="H11" s="91"/>
      <c r="I11" s="13">
        <f>ROUND((G11*H7),3)</f>
        <v>0.011</v>
      </c>
    </row>
    <row r="12" spans="2:9" ht="12.75">
      <c r="B12" s="4" t="s">
        <v>5</v>
      </c>
      <c r="C12" s="35">
        <v>18368.4</v>
      </c>
      <c r="D12" s="9">
        <v>15443.4</v>
      </c>
      <c r="E12" s="13">
        <f t="shared" si="0"/>
        <v>1.1894012976417112</v>
      </c>
      <c r="F12" s="1"/>
      <c r="G12" s="13">
        <f>(E9-E12)/(E9-E13)</f>
        <v>0.8155571495268669</v>
      </c>
      <c r="H12" s="91"/>
      <c r="I12" s="13">
        <f>ROUND((G12*H7),3)</f>
        <v>0.041</v>
      </c>
    </row>
    <row r="13" spans="2:9" ht="12.75">
      <c r="B13" s="4" t="s">
        <v>6</v>
      </c>
      <c r="C13" s="35">
        <v>9797.6</v>
      </c>
      <c r="D13" s="9">
        <v>8770.1</v>
      </c>
      <c r="E13" s="13">
        <f t="shared" si="0"/>
        <v>1.1171594394590711</v>
      </c>
      <c r="F13" s="1" t="s">
        <v>103</v>
      </c>
      <c r="G13" s="13">
        <f>(E9-E13)/(E9-E13)</f>
        <v>1</v>
      </c>
      <c r="H13" s="91"/>
      <c r="I13" s="13">
        <f>ROUND((G13*H7),3)</f>
        <v>0.05</v>
      </c>
    </row>
    <row r="14" spans="2:9" ht="12.75">
      <c r="B14" s="4" t="s">
        <v>7</v>
      </c>
      <c r="C14" s="35">
        <v>8895.6</v>
      </c>
      <c r="D14" s="9">
        <v>6791.1</v>
      </c>
      <c r="E14" s="13">
        <f t="shared" si="0"/>
        <v>1.3098908866015815</v>
      </c>
      <c r="G14" s="13">
        <f>(E9-E14)/(E9-E13)</f>
        <v>0.5079315734528146</v>
      </c>
      <c r="H14" s="91"/>
      <c r="I14" s="13">
        <f>ROUND((G14*H7),3)</f>
        <v>0.025</v>
      </c>
    </row>
    <row r="15" spans="2:9" ht="12.75">
      <c r="B15" s="4" t="s">
        <v>8</v>
      </c>
      <c r="C15" s="35">
        <v>11420.7</v>
      </c>
      <c r="D15" s="9">
        <v>7779.4</v>
      </c>
      <c r="E15" s="13">
        <f t="shared" si="0"/>
        <v>1.4680695169293263</v>
      </c>
      <c r="F15" s="1"/>
      <c r="G15" s="13">
        <f>(E9-E15)/(E9-E13)</f>
        <v>0.1040809777521067</v>
      </c>
      <c r="H15" s="92"/>
      <c r="I15" s="13">
        <f>ROUND((G15*H7),3)</f>
        <v>0.005</v>
      </c>
    </row>
    <row r="16" spans="3:4" ht="12.75">
      <c r="C16" s="36"/>
      <c r="D16" s="36"/>
    </row>
  </sheetData>
  <sheetProtection/>
  <mergeCells count="2"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K17"/>
  <sheetViews>
    <sheetView zoomScalePageLayoutView="0" workbookViewId="0" topLeftCell="D1">
      <selection activeCell="H10" sqref="H10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23.7109375" style="0" customWidth="1"/>
    <col min="7" max="7" width="10.8515625" style="0" customWidth="1"/>
    <col min="8" max="8" width="13.57421875" style="0" customWidth="1"/>
    <col min="9" max="9" width="13.8515625" style="0" customWidth="1"/>
    <col min="10" max="10" width="10.57421875" style="0" customWidth="1"/>
    <col min="11" max="11" width="10.28125" style="0" customWidth="1"/>
  </cols>
  <sheetData>
    <row r="2" spans="2:11" ht="27.75" customHeight="1">
      <c r="B2" s="93" t="s">
        <v>61</v>
      </c>
      <c r="C2" s="94"/>
      <c r="D2" s="94"/>
      <c r="E2" s="94"/>
      <c r="F2" s="94"/>
      <c r="G2" s="94"/>
      <c r="H2" s="94"/>
      <c r="I2" s="94"/>
      <c r="J2" s="94"/>
      <c r="K2" s="95"/>
    </row>
    <row r="3" ht="13.5" thickBot="1"/>
    <row r="4" spans="2:6" ht="13.5" thickBot="1">
      <c r="B4" s="2" t="s">
        <v>9</v>
      </c>
      <c r="C4" s="5" t="s">
        <v>62</v>
      </c>
      <c r="D4" s="6"/>
      <c r="E4" s="6"/>
      <c r="F4" s="6"/>
    </row>
    <row r="6" spans="2:11" ht="170.25" customHeight="1">
      <c r="B6" s="3" t="s">
        <v>15</v>
      </c>
      <c r="C6" s="3" t="s">
        <v>64</v>
      </c>
      <c r="D6" s="3" t="s">
        <v>63</v>
      </c>
      <c r="E6" s="3" t="s">
        <v>65</v>
      </c>
      <c r="F6" s="3" t="s">
        <v>66</v>
      </c>
      <c r="G6" s="3" t="s">
        <v>10</v>
      </c>
      <c r="H6" s="3" t="s">
        <v>32</v>
      </c>
      <c r="I6" s="3" t="s">
        <v>33</v>
      </c>
      <c r="J6" s="3" t="s">
        <v>13</v>
      </c>
      <c r="K6" s="3" t="s">
        <v>14</v>
      </c>
    </row>
    <row r="7" spans="2:11" ht="12.75">
      <c r="B7" s="4" t="s">
        <v>0</v>
      </c>
      <c r="C7" s="9">
        <f>19983269.95-2897489.19</f>
        <v>17085780.759999998</v>
      </c>
      <c r="D7" s="9">
        <f>(49190475.76-635214.8-6930042.18)-C7</f>
        <v>24539438.020000003</v>
      </c>
      <c r="E7" s="9">
        <f>(80998189.53-635214.91-9717336.47)-C7-D7</f>
        <v>29020419.370000005</v>
      </c>
      <c r="F7" s="9">
        <f>(149027774.21-22116223.72-26860075.72)-C7-D7-E7</f>
        <v>29405836.620000012</v>
      </c>
      <c r="G7" s="18">
        <f>F7/(1.1*(C7+D7+E7)/3)</f>
        <v>1.1352114346547757</v>
      </c>
      <c r="H7" s="1"/>
      <c r="I7" s="13">
        <f>(G13-G7)/(G13-G11)</f>
        <v>0.8987265705413037</v>
      </c>
      <c r="J7" s="90">
        <v>0.05</v>
      </c>
      <c r="K7" s="13">
        <f>ROUND((I7*J7),3)</f>
        <v>0.045</v>
      </c>
    </row>
    <row r="8" spans="2:11" ht="12.75">
      <c r="B8" s="4" t="s">
        <v>1</v>
      </c>
      <c r="C8" s="38">
        <f>2115450.97-49505.84-193410.62</f>
        <v>1872534.5100000002</v>
      </c>
      <c r="D8" s="38">
        <f>(5074409.13-441447.64-490501.69)-C8</f>
        <v>2269925.29</v>
      </c>
      <c r="E8" s="38">
        <f>(8599273.18-490097.4-1608945.5)-C8-D8</f>
        <v>2357770.4799999995</v>
      </c>
      <c r="F8" s="38">
        <f>(12311775.36-543059.8-2084275.38)-C8-D8-E8</f>
        <v>3184209.9000000004</v>
      </c>
      <c r="G8" s="18">
        <f aca="true" t="shared" si="0" ref="G8:G15">F8/(1.1*(C8+D8+E8)/3)</f>
        <v>1.3359847950158805</v>
      </c>
      <c r="H8" s="1"/>
      <c r="I8" s="13">
        <f>(G13-G8)/(G13-G11)</f>
        <v>0.683889264496663</v>
      </c>
      <c r="J8" s="91"/>
      <c r="K8" s="13">
        <f>ROUND((I8*J7),3)</f>
        <v>0.034</v>
      </c>
    </row>
    <row r="9" spans="2:11" ht="12.75">
      <c r="B9" s="4" t="s">
        <v>2</v>
      </c>
      <c r="C9" s="38">
        <f>2475215.84-49996.8-233772.95</f>
        <v>2191446.09</v>
      </c>
      <c r="D9" s="38">
        <f>5643942.42-100986.96-478396.07-C9</f>
        <v>2873113.3</v>
      </c>
      <c r="E9" s="38">
        <f>9935628.17-148944.02-1680484.21-C9-D9</f>
        <v>3041640.5500000007</v>
      </c>
      <c r="F9" s="38">
        <f>16033965.44-201100-2111843.24-C9-D9-E9</f>
        <v>5614822.259999998</v>
      </c>
      <c r="G9" s="18">
        <f t="shared" si="0"/>
        <v>1.889066607229751</v>
      </c>
      <c r="H9" s="1"/>
      <c r="I9" s="13">
        <f>(G13-G9)/(G13-G11)</f>
        <v>0.09206469999963482</v>
      </c>
      <c r="J9" s="91"/>
      <c r="K9" s="13">
        <f>ROUND((I9*J7),3)</f>
        <v>0.005</v>
      </c>
    </row>
    <row r="10" spans="2:11" ht="12.75">
      <c r="B10" s="4" t="s">
        <v>3</v>
      </c>
      <c r="C10" s="38">
        <f>5686135.12-50275-647055.53</f>
        <v>4988804.59</v>
      </c>
      <c r="D10" s="38">
        <f>14746573.59-100550-2118316.4-C10</f>
        <v>7538902.6</v>
      </c>
      <c r="E10" s="38">
        <f>32898167.87-146557.93-13524676.16-D10-C10</f>
        <v>6699226.590000002</v>
      </c>
      <c r="F10" s="38">
        <f>73119898.64-9114379.44-33681649.07-E10-D10-C10</f>
        <v>11096936.35</v>
      </c>
      <c r="G10" s="18">
        <f t="shared" si="0"/>
        <v>1.5740612731041692</v>
      </c>
      <c r="H10" s="1"/>
      <c r="I10" s="13">
        <f>(G13-G10)/(G13-G11)</f>
        <v>0.42913579972877175</v>
      </c>
      <c r="J10" s="91"/>
      <c r="K10" s="13">
        <f>ROUND((I10*J7),3)</f>
        <v>0.021</v>
      </c>
    </row>
    <row r="11" spans="2:11" ht="12.75">
      <c r="B11" s="4" t="s">
        <v>4</v>
      </c>
      <c r="C11" s="38">
        <f>1892092.97-49996.8-89068.87</f>
        <v>1753027.2999999998</v>
      </c>
      <c r="D11" s="38">
        <f>4007217.82-99993.6-222607.04-C11</f>
        <v>1931589.88</v>
      </c>
      <c r="E11" s="38">
        <f>6859037.71-149996.29-1253936.56-D11-C11</f>
        <v>1770487.6799999997</v>
      </c>
      <c r="F11" s="38">
        <f>9281640.38-201100-1544086.7-E11-D11-C11</f>
        <v>2081348.8200000012</v>
      </c>
      <c r="G11" s="18">
        <f t="shared" si="0"/>
        <v>1.0405676918055202</v>
      </c>
      <c r="H11" s="1" t="s">
        <v>103</v>
      </c>
      <c r="I11" s="13">
        <f>(G13-G11)/(G13-G11)</f>
        <v>1</v>
      </c>
      <c r="J11" s="91"/>
      <c r="K11" s="13">
        <f>ROUND((I11*J7),3)</f>
        <v>0.05</v>
      </c>
    </row>
    <row r="12" spans="2:11" ht="12.75">
      <c r="B12" s="4" t="s">
        <v>5</v>
      </c>
      <c r="C12" s="38">
        <f>3911279.2-44842.59-514415.03</f>
        <v>3352021.58</v>
      </c>
      <c r="D12" s="38">
        <f>8566939.75-93725.79-1339121.17-C12</f>
        <v>3782071.210000001</v>
      </c>
      <c r="E12" s="38">
        <f>14497252.04-138541.62-2203654.12-D12-C12</f>
        <v>5020963.51</v>
      </c>
      <c r="F12" s="38">
        <f>34350951.54-200432.48-16540757.1-E12-D12-C12</f>
        <v>5454705.66</v>
      </c>
      <c r="G12" s="18">
        <f t="shared" si="0"/>
        <v>1.2238914912980023</v>
      </c>
      <c r="I12" s="13">
        <f>(G13-G12)/(G13-G11)</f>
        <v>0.8038345767287232</v>
      </c>
      <c r="J12" s="91"/>
      <c r="K12" s="13">
        <f>ROUND((I12*J7),3)</f>
        <v>0.04</v>
      </c>
    </row>
    <row r="13" spans="2:11" ht="12.75">
      <c r="B13" s="4" t="s">
        <v>6</v>
      </c>
      <c r="C13" s="38">
        <f>2321127.51-48009.98-303551.51</f>
        <v>1969566.0199999998</v>
      </c>
      <c r="D13" s="38">
        <f>4976756.43-91119.78-601510.61-C13</f>
        <v>2314560.0199999996</v>
      </c>
      <c r="E13" s="38">
        <f>7338168.89-139124.31-894839.18-D13-C13</f>
        <v>2020079.360000001</v>
      </c>
      <c r="F13" s="38">
        <f>26395509.11-201100-15324666.85-E13-D13-C13</f>
        <v>4565536.859999999</v>
      </c>
      <c r="G13" s="18">
        <f t="shared" si="0"/>
        <v>1.9751044538676292</v>
      </c>
      <c r="H13" s="1" t="s">
        <v>102</v>
      </c>
      <c r="I13" s="13">
        <f>(G13-G13)/(G13-G11)</f>
        <v>0</v>
      </c>
      <c r="J13" s="91"/>
      <c r="K13" s="13">
        <f>ROUND((I13*J7),3)</f>
        <v>0</v>
      </c>
    </row>
    <row r="14" spans="2:11" ht="12.75">
      <c r="B14" s="4" t="s">
        <v>7</v>
      </c>
      <c r="C14" s="38">
        <f>2474299.84-49762.44-296809.51</f>
        <v>2127727.8899999997</v>
      </c>
      <c r="D14" s="38">
        <f>5557275.95-99524.88-664234.54-C14</f>
        <v>2665788.6400000006</v>
      </c>
      <c r="E14" s="38">
        <f>9545921.99-150513.26-2544218.34-D14-C14</f>
        <v>2057673.8600000003</v>
      </c>
      <c r="F14" s="38">
        <f>14022077.93-201100-3619360.1-E14-D14-C14</f>
        <v>3350427.4399999995</v>
      </c>
      <c r="G14" s="18">
        <f t="shared" si="0"/>
        <v>1.3337141228997693</v>
      </c>
      <c r="H14" s="1"/>
      <c r="I14" s="13">
        <f>(G13-G14)/(G13-G11)</f>
        <v>0.6863189946135402</v>
      </c>
      <c r="J14" s="91"/>
      <c r="K14" s="13">
        <f>ROUND((I14*J7),3)</f>
        <v>0.034</v>
      </c>
    </row>
    <row r="15" spans="2:11" ht="12.75">
      <c r="B15" s="4" t="s">
        <v>8</v>
      </c>
      <c r="C15" s="38">
        <f>3138200.66-49996.8-357355.71</f>
        <v>2730848.1500000004</v>
      </c>
      <c r="D15" s="38">
        <f>6252556.43-99993.6-724413.2-C15</f>
        <v>2697301.4799999995</v>
      </c>
      <c r="E15" s="38">
        <f>13686573.72-148862.71-4782035.43-D15-C15</f>
        <v>3327525.95</v>
      </c>
      <c r="F15" s="38">
        <f>18131330.88-201100-5834327.71-C15-D15-E15</f>
        <v>3340227.589999998</v>
      </c>
      <c r="G15" s="18">
        <f t="shared" si="0"/>
        <v>1.040435032780292</v>
      </c>
      <c r="H15" s="1"/>
      <c r="I15" s="13">
        <f>(G13-G15)/(G13-G11)</f>
        <v>1.000141951639158</v>
      </c>
      <c r="J15" s="92"/>
      <c r="K15" s="13">
        <f>ROUND((I15*J7),3)</f>
        <v>0.05</v>
      </c>
    </row>
    <row r="16" spans="3:6" ht="12.75">
      <c r="C16" s="10"/>
      <c r="D16" s="10"/>
      <c r="E16" s="10"/>
      <c r="F16" s="10"/>
    </row>
    <row r="17" spans="2:6" ht="12.75">
      <c r="B17" s="25"/>
      <c r="C17" s="10"/>
      <c r="D17" s="10"/>
      <c r="E17" s="10"/>
      <c r="F17" s="10"/>
    </row>
  </sheetData>
  <sheetProtection/>
  <mergeCells count="2">
    <mergeCell ref="J7:J15"/>
    <mergeCell ref="B2:K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J1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5.57421875" style="0" customWidth="1"/>
    <col min="6" max="6" width="10.8515625" style="0" customWidth="1"/>
    <col min="7" max="7" width="13.57421875" style="0" customWidth="1"/>
    <col min="9" max="9" width="10.57421875" style="0" customWidth="1"/>
    <col min="10" max="10" width="10.28125" style="0" customWidth="1"/>
  </cols>
  <sheetData>
    <row r="2" spans="2:10" ht="46.5" customHeight="1">
      <c r="B2" s="93" t="s">
        <v>19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5" ht="13.5" thickBot="1">
      <c r="B4" s="2" t="s">
        <v>9</v>
      </c>
      <c r="C4" s="88" t="s">
        <v>161</v>
      </c>
      <c r="D4" s="88"/>
      <c r="E4" s="89"/>
    </row>
    <row r="6" spans="2:10" ht="75.75" customHeight="1">
      <c r="B6" s="3" t="s">
        <v>15</v>
      </c>
      <c r="C6" s="3" t="s">
        <v>20</v>
      </c>
      <c r="D6" s="3" t="s">
        <v>131</v>
      </c>
      <c r="E6" s="3" t="s">
        <v>132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</row>
    <row r="7" spans="2:10" ht="12.75">
      <c r="B7" s="4" t="s">
        <v>0</v>
      </c>
      <c r="C7" s="79">
        <v>0</v>
      </c>
      <c r="D7" s="51">
        <v>149918</v>
      </c>
      <c r="E7" s="51">
        <v>49897</v>
      </c>
      <c r="F7" s="18">
        <f>(C7/(D7-E7))</f>
        <v>0</v>
      </c>
      <c r="G7" s="1" t="s">
        <v>104</v>
      </c>
      <c r="H7" s="1">
        <v>1</v>
      </c>
      <c r="I7" s="90">
        <v>0.04</v>
      </c>
      <c r="J7" s="1">
        <f>H7*I7</f>
        <v>0.04</v>
      </c>
    </row>
    <row r="8" spans="2:10" ht="12.75">
      <c r="B8" s="4" t="s">
        <v>1</v>
      </c>
      <c r="C8" s="79">
        <v>0</v>
      </c>
      <c r="D8" s="9">
        <v>12340.9</v>
      </c>
      <c r="E8" s="9">
        <v>2989.6</v>
      </c>
      <c r="F8" s="18">
        <f aca="true" t="shared" si="0" ref="F8:F15">(C8/(D8-E8))</f>
        <v>0</v>
      </c>
      <c r="G8" s="1" t="s">
        <v>104</v>
      </c>
      <c r="H8" s="1">
        <v>1</v>
      </c>
      <c r="I8" s="91"/>
      <c r="J8" s="1">
        <f>H8*I7</f>
        <v>0.04</v>
      </c>
    </row>
    <row r="9" spans="2:10" ht="12.75">
      <c r="B9" s="4" t="s">
        <v>2</v>
      </c>
      <c r="C9" s="35">
        <v>0</v>
      </c>
      <c r="D9" s="9">
        <v>12710.9</v>
      </c>
      <c r="E9" s="9">
        <v>5359.6</v>
      </c>
      <c r="F9" s="18">
        <f t="shared" si="0"/>
        <v>0</v>
      </c>
      <c r="G9" s="1" t="s">
        <v>104</v>
      </c>
      <c r="H9" s="1">
        <v>1</v>
      </c>
      <c r="I9" s="91"/>
      <c r="J9" s="1">
        <f>H9*I7</f>
        <v>0.04</v>
      </c>
    </row>
    <row r="10" spans="2:10" ht="12.75">
      <c r="B10" s="4" t="s">
        <v>3</v>
      </c>
      <c r="C10" s="35">
        <v>1440</v>
      </c>
      <c r="D10" s="9">
        <v>69016.5</v>
      </c>
      <c r="E10" s="9">
        <v>42881.2</v>
      </c>
      <c r="F10" s="18">
        <f t="shared" si="0"/>
        <v>0.05509789441865982</v>
      </c>
      <c r="G10" s="1" t="s">
        <v>104</v>
      </c>
      <c r="H10" s="1">
        <v>1</v>
      </c>
      <c r="I10" s="91"/>
      <c r="J10" s="1">
        <f>H10*I7</f>
        <v>0.04</v>
      </c>
    </row>
    <row r="11" spans="2:10" ht="12.75">
      <c r="B11" s="4" t="s">
        <v>4</v>
      </c>
      <c r="C11" s="35">
        <v>0</v>
      </c>
      <c r="D11" s="9">
        <v>8426.4</v>
      </c>
      <c r="E11" s="9">
        <v>4313.7</v>
      </c>
      <c r="F11" s="18">
        <f t="shared" si="0"/>
        <v>0</v>
      </c>
      <c r="G11" s="1" t="s">
        <v>104</v>
      </c>
      <c r="H11" s="1">
        <v>1</v>
      </c>
      <c r="I11" s="91"/>
      <c r="J11" s="1">
        <f>H11*I7</f>
        <v>0.04</v>
      </c>
    </row>
    <row r="12" spans="2:10" ht="12.75">
      <c r="B12" s="4" t="s">
        <v>5</v>
      </c>
      <c r="C12" s="35">
        <v>0</v>
      </c>
      <c r="D12" s="9">
        <v>35007.2</v>
      </c>
      <c r="E12" s="9">
        <v>19126.4</v>
      </c>
      <c r="F12" s="18">
        <f t="shared" si="0"/>
        <v>0</v>
      </c>
      <c r="G12" s="1" t="s">
        <v>104</v>
      </c>
      <c r="H12" s="1">
        <v>1</v>
      </c>
      <c r="I12" s="91"/>
      <c r="J12" s="1">
        <f>H12*I7</f>
        <v>0.04</v>
      </c>
    </row>
    <row r="13" spans="2:10" ht="12.75">
      <c r="B13" s="4" t="s">
        <v>6</v>
      </c>
      <c r="C13" s="35">
        <v>0</v>
      </c>
      <c r="D13" s="9">
        <v>25671.3</v>
      </c>
      <c r="E13" s="9">
        <v>16289.2</v>
      </c>
      <c r="F13" s="18">
        <f t="shared" si="0"/>
        <v>0</v>
      </c>
      <c r="G13" s="1" t="s">
        <v>104</v>
      </c>
      <c r="H13" s="1">
        <v>1</v>
      </c>
      <c r="I13" s="91"/>
      <c r="J13" s="1">
        <f>H13*I7</f>
        <v>0.04</v>
      </c>
    </row>
    <row r="14" spans="2:10" ht="12.75">
      <c r="B14" s="4" t="s">
        <v>7</v>
      </c>
      <c r="C14" s="35">
        <v>0</v>
      </c>
      <c r="D14" s="9">
        <v>13841.1</v>
      </c>
      <c r="E14" s="9">
        <v>5804</v>
      </c>
      <c r="F14" s="18">
        <f t="shared" si="0"/>
        <v>0</v>
      </c>
      <c r="G14" s="1" t="s">
        <v>104</v>
      </c>
      <c r="H14" s="1">
        <v>1</v>
      </c>
      <c r="I14" s="91"/>
      <c r="J14" s="1">
        <f>H14*I7</f>
        <v>0.04</v>
      </c>
    </row>
    <row r="15" spans="2:10" ht="12.75">
      <c r="B15" s="4" t="s">
        <v>8</v>
      </c>
      <c r="C15" s="35">
        <v>0</v>
      </c>
      <c r="D15" s="9">
        <v>20211.1</v>
      </c>
      <c r="E15" s="9">
        <v>9404.7</v>
      </c>
      <c r="F15" s="18">
        <f t="shared" si="0"/>
        <v>0</v>
      </c>
      <c r="G15" s="1" t="s">
        <v>104</v>
      </c>
      <c r="H15" s="1">
        <v>1</v>
      </c>
      <c r="I15" s="92"/>
      <c r="J15" s="1">
        <f>H15*I7</f>
        <v>0.04</v>
      </c>
    </row>
    <row r="16" spans="3:5" ht="12.75">
      <c r="C16" s="36"/>
      <c r="D16" s="36"/>
      <c r="E16" s="36"/>
    </row>
    <row r="17" ht="12.75">
      <c r="B17" s="25"/>
    </row>
  </sheetData>
  <sheetProtection/>
  <mergeCells count="3">
    <mergeCell ref="C4:E4"/>
    <mergeCell ref="I7:I15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5"/>
  <sheetViews>
    <sheetView zoomScalePageLayoutView="0" workbookViewId="0" topLeftCell="B1">
      <selection activeCell="E19" sqref="E19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15.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27.75" customHeight="1">
      <c r="B2" s="93" t="s">
        <v>67</v>
      </c>
      <c r="C2" s="94"/>
      <c r="D2" s="94"/>
      <c r="E2" s="94"/>
      <c r="F2" s="94"/>
      <c r="G2" s="94"/>
      <c r="H2" s="94"/>
      <c r="I2" s="95"/>
    </row>
    <row r="3" ht="13.5" thickBot="1"/>
    <row r="4" spans="2:5" ht="13.5" thickBot="1">
      <c r="B4" s="2" t="s">
        <v>9</v>
      </c>
      <c r="C4" s="5" t="s">
        <v>68</v>
      </c>
      <c r="D4" s="6"/>
      <c r="E4" s="6"/>
    </row>
    <row r="6" spans="2:9" ht="87" customHeight="1">
      <c r="B6" s="3" t="s">
        <v>15</v>
      </c>
      <c r="C6" s="3" t="s">
        <v>191</v>
      </c>
      <c r="D6" s="3" t="s">
        <v>192</v>
      </c>
      <c r="E6" s="3" t="s">
        <v>69</v>
      </c>
      <c r="F6" s="3" t="s">
        <v>70</v>
      </c>
      <c r="G6" s="3" t="s">
        <v>10</v>
      </c>
      <c r="H6" s="3" t="s">
        <v>13</v>
      </c>
      <c r="I6" s="3" t="s">
        <v>14</v>
      </c>
    </row>
    <row r="7" spans="2:9" ht="12.75">
      <c r="B7" s="4" t="s">
        <v>0</v>
      </c>
      <c r="C7" s="45">
        <v>43426</v>
      </c>
      <c r="D7" s="45">
        <v>43214</v>
      </c>
      <c r="E7" s="40" t="s">
        <v>193</v>
      </c>
      <c r="F7" s="1" t="s">
        <v>198</v>
      </c>
      <c r="G7" s="1">
        <v>1</v>
      </c>
      <c r="H7" s="90">
        <v>0.03</v>
      </c>
      <c r="I7" s="1">
        <f>G7*H7</f>
        <v>0.03</v>
      </c>
    </row>
    <row r="8" spans="2:9" ht="12.75">
      <c r="B8" s="4" t="s">
        <v>1</v>
      </c>
      <c r="C8" s="45">
        <v>43441</v>
      </c>
      <c r="D8" s="45">
        <v>43203</v>
      </c>
      <c r="E8" s="40" t="s">
        <v>221</v>
      </c>
      <c r="F8" s="1" t="s">
        <v>198</v>
      </c>
      <c r="G8" s="21">
        <v>1</v>
      </c>
      <c r="H8" s="91"/>
      <c r="I8" s="1">
        <f>G8*H7</f>
        <v>0.03</v>
      </c>
    </row>
    <row r="9" spans="2:9" ht="12.75">
      <c r="B9" s="4" t="s">
        <v>2</v>
      </c>
      <c r="C9" s="45">
        <v>43445</v>
      </c>
      <c r="D9" s="45">
        <v>43230</v>
      </c>
      <c r="E9" s="40" t="s">
        <v>220</v>
      </c>
      <c r="F9" s="1" t="s">
        <v>198</v>
      </c>
      <c r="G9" s="21">
        <v>1</v>
      </c>
      <c r="H9" s="91"/>
      <c r="I9" s="1">
        <f>G9*H7</f>
        <v>0.03</v>
      </c>
    </row>
    <row r="10" spans="2:9" ht="12.75">
      <c r="B10" s="46" t="s">
        <v>3</v>
      </c>
      <c r="C10" s="45">
        <v>43451</v>
      </c>
      <c r="D10" s="47">
        <v>43236</v>
      </c>
      <c r="E10" s="40" t="s">
        <v>196</v>
      </c>
      <c r="F10" s="1" t="s">
        <v>199</v>
      </c>
      <c r="G10" s="21">
        <v>0</v>
      </c>
      <c r="H10" s="91"/>
      <c r="I10" s="1">
        <f>G10*H7</f>
        <v>0</v>
      </c>
    </row>
    <row r="11" spans="2:9" ht="12.75">
      <c r="B11" s="46" t="s">
        <v>4</v>
      </c>
      <c r="C11" s="47">
        <v>43448</v>
      </c>
      <c r="D11" s="48">
        <v>43231</v>
      </c>
      <c r="E11" s="26" t="s">
        <v>194</v>
      </c>
      <c r="F11" s="1" t="s">
        <v>198</v>
      </c>
      <c r="G11" s="26">
        <v>1</v>
      </c>
      <c r="H11" s="91"/>
      <c r="I11" s="1">
        <f>G11*H7</f>
        <v>0.03</v>
      </c>
    </row>
    <row r="12" spans="2:9" ht="12.75">
      <c r="B12" s="46" t="s">
        <v>5</v>
      </c>
      <c r="C12" s="71">
        <v>43441</v>
      </c>
      <c r="D12" s="71">
        <v>43231</v>
      </c>
      <c r="E12" s="40" t="s">
        <v>222</v>
      </c>
      <c r="F12" s="1" t="s">
        <v>198</v>
      </c>
      <c r="G12" s="21">
        <v>1</v>
      </c>
      <c r="H12" s="91"/>
      <c r="I12" s="1">
        <f>G12*H7</f>
        <v>0.03</v>
      </c>
    </row>
    <row r="13" spans="2:9" ht="12.75">
      <c r="B13" s="46" t="s">
        <v>6</v>
      </c>
      <c r="C13" s="45">
        <v>43441</v>
      </c>
      <c r="D13" s="45">
        <v>43231</v>
      </c>
      <c r="E13" s="40" t="s">
        <v>211</v>
      </c>
      <c r="F13" s="1" t="s">
        <v>198</v>
      </c>
      <c r="G13" s="1">
        <v>1</v>
      </c>
      <c r="H13" s="91"/>
      <c r="I13" s="1">
        <f>G13*H7</f>
        <v>0.03</v>
      </c>
    </row>
    <row r="14" spans="2:9" ht="12.75">
      <c r="B14" s="4" t="s">
        <v>7</v>
      </c>
      <c r="C14" s="75">
        <v>43445</v>
      </c>
      <c r="D14" s="71">
        <v>43236</v>
      </c>
      <c r="E14" s="40" t="s">
        <v>225</v>
      </c>
      <c r="F14" s="1" t="s">
        <v>198</v>
      </c>
      <c r="G14" s="1">
        <v>1</v>
      </c>
      <c r="H14" s="91"/>
      <c r="I14" s="1">
        <f>G14*H7</f>
        <v>0.03</v>
      </c>
    </row>
    <row r="15" spans="2:9" ht="12.75">
      <c r="B15" s="4" t="s">
        <v>8</v>
      </c>
      <c r="C15" s="45">
        <v>43441</v>
      </c>
      <c r="D15" s="45">
        <v>43231</v>
      </c>
      <c r="E15" s="40" t="s">
        <v>195</v>
      </c>
      <c r="F15" s="1" t="s">
        <v>198</v>
      </c>
      <c r="G15" s="1">
        <v>1</v>
      </c>
      <c r="H15" s="92"/>
      <c r="I15" s="1">
        <f>G15*H7</f>
        <v>0.03</v>
      </c>
    </row>
  </sheetData>
  <sheetProtection/>
  <mergeCells count="2"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15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  <col min="5" max="5" width="14.57421875" style="0" customWidth="1"/>
    <col min="6" max="6" width="18.7109375" style="0" customWidth="1"/>
    <col min="7" max="7" width="10.57421875" style="0" customWidth="1"/>
    <col min="8" max="8" width="10.28125" style="0" customWidth="1"/>
  </cols>
  <sheetData>
    <row r="2" spans="2:8" ht="27.75" customHeight="1">
      <c r="B2" s="93" t="s">
        <v>71</v>
      </c>
      <c r="C2" s="94"/>
      <c r="D2" s="94"/>
      <c r="E2" s="94"/>
      <c r="F2" s="94"/>
      <c r="G2" s="94"/>
      <c r="H2" s="95"/>
    </row>
    <row r="3" ht="13.5" thickBot="1"/>
    <row r="4" spans="2:5" ht="13.5" thickBot="1">
      <c r="B4" s="2" t="s">
        <v>9</v>
      </c>
      <c r="C4" s="5" t="s">
        <v>72</v>
      </c>
      <c r="D4" s="6"/>
      <c r="E4" s="6"/>
    </row>
    <row r="6" spans="2:8" ht="94.5" customHeight="1">
      <c r="B6" s="3" t="s">
        <v>15</v>
      </c>
      <c r="C6" s="3" t="s">
        <v>73</v>
      </c>
      <c r="D6" s="3" t="s">
        <v>10</v>
      </c>
      <c r="E6" s="3" t="s">
        <v>32</v>
      </c>
      <c r="F6" s="3" t="s">
        <v>45</v>
      </c>
      <c r="G6" s="3" t="s">
        <v>13</v>
      </c>
      <c r="H6" s="3" t="s">
        <v>14</v>
      </c>
    </row>
    <row r="7" spans="2:8" ht="12.75">
      <c r="B7" s="4" t="s">
        <v>0</v>
      </c>
      <c r="C7" s="1">
        <v>0</v>
      </c>
      <c r="D7" s="18">
        <v>1</v>
      </c>
      <c r="E7" s="1"/>
      <c r="F7" s="18">
        <v>1</v>
      </c>
      <c r="G7" s="96">
        <v>0.04</v>
      </c>
      <c r="H7" s="13">
        <f>F7*G7</f>
        <v>0.04</v>
      </c>
    </row>
    <row r="8" spans="2:8" ht="12.75">
      <c r="B8" s="4" t="s">
        <v>1</v>
      </c>
      <c r="C8" s="1">
        <v>0</v>
      </c>
      <c r="D8" s="18">
        <v>1</v>
      </c>
      <c r="E8" s="1"/>
      <c r="F8" s="18">
        <v>1</v>
      </c>
      <c r="G8" s="97"/>
      <c r="H8" s="13">
        <f>F8*G7</f>
        <v>0.04</v>
      </c>
    </row>
    <row r="9" spans="2:8" ht="12.75">
      <c r="B9" s="4" t="s">
        <v>2</v>
      </c>
      <c r="C9" s="1">
        <v>0</v>
      </c>
      <c r="D9" s="18">
        <v>1</v>
      </c>
      <c r="E9" s="1"/>
      <c r="F9" s="18">
        <v>1</v>
      </c>
      <c r="G9" s="97"/>
      <c r="H9" s="13">
        <f>F9*G7</f>
        <v>0.04</v>
      </c>
    </row>
    <row r="10" spans="2:8" ht="12.75">
      <c r="B10" s="4" t="s">
        <v>3</v>
      </c>
      <c r="C10" s="1">
        <v>0</v>
      </c>
      <c r="D10" s="18">
        <v>1</v>
      </c>
      <c r="E10" s="1"/>
      <c r="F10" s="18">
        <v>1</v>
      </c>
      <c r="G10" s="97"/>
      <c r="H10" s="13">
        <f>F10*G7</f>
        <v>0.04</v>
      </c>
    </row>
    <row r="11" spans="2:8" ht="12.75">
      <c r="B11" s="4" t="s">
        <v>4</v>
      </c>
      <c r="C11" s="1">
        <v>0</v>
      </c>
      <c r="D11" s="18">
        <v>1</v>
      </c>
      <c r="E11" s="1"/>
      <c r="F11" s="18">
        <v>1</v>
      </c>
      <c r="G11" s="97"/>
      <c r="H11" s="13">
        <f>F11*G7</f>
        <v>0.04</v>
      </c>
    </row>
    <row r="12" spans="2:8" ht="12.75">
      <c r="B12" s="4" t="s">
        <v>5</v>
      </c>
      <c r="C12" s="1">
        <v>0</v>
      </c>
      <c r="D12" s="18">
        <v>1</v>
      </c>
      <c r="E12" s="1"/>
      <c r="F12" s="18">
        <v>1</v>
      </c>
      <c r="G12" s="97"/>
      <c r="H12" s="13">
        <f>F12*G7</f>
        <v>0.04</v>
      </c>
    </row>
    <row r="13" spans="2:8" ht="12.75">
      <c r="B13" s="4" t="s">
        <v>6</v>
      </c>
      <c r="C13" s="1">
        <v>0</v>
      </c>
      <c r="D13" s="18">
        <v>1</v>
      </c>
      <c r="E13" s="1"/>
      <c r="F13" s="18">
        <v>1</v>
      </c>
      <c r="G13" s="97"/>
      <c r="H13" s="13">
        <f>F13*G7</f>
        <v>0.04</v>
      </c>
    </row>
    <row r="14" spans="2:8" ht="12.75">
      <c r="B14" s="4" t="s">
        <v>7</v>
      </c>
      <c r="C14" s="1">
        <v>0</v>
      </c>
      <c r="D14" s="18">
        <v>1</v>
      </c>
      <c r="E14" s="1"/>
      <c r="F14" s="18">
        <v>1</v>
      </c>
      <c r="G14" s="97"/>
      <c r="H14" s="13">
        <f>F14*G7</f>
        <v>0.04</v>
      </c>
    </row>
    <row r="15" spans="2:8" ht="12.75">
      <c r="B15" s="4" t="s">
        <v>8</v>
      </c>
      <c r="C15" s="1">
        <v>0</v>
      </c>
      <c r="D15" s="18">
        <v>1</v>
      </c>
      <c r="E15" s="1"/>
      <c r="F15" s="18">
        <v>1</v>
      </c>
      <c r="G15" s="98"/>
      <c r="H15" s="13">
        <f>F15*G7</f>
        <v>0.04</v>
      </c>
    </row>
  </sheetData>
  <sheetProtection/>
  <mergeCells count="2">
    <mergeCell ref="G7:G15"/>
    <mergeCell ref="B2:H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15"/>
  <sheetViews>
    <sheetView zoomScalePageLayoutView="0" workbookViewId="0" topLeftCell="B1">
      <selection activeCell="E15" sqref="E15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  <col min="5" max="5" width="13.8515625" style="0" customWidth="1"/>
    <col min="6" max="6" width="10.57421875" style="0" customWidth="1"/>
    <col min="7" max="7" width="10.28125" style="0" customWidth="1"/>
    <col min="8" max="8" width="18.7109375" style="0" customWidth="1"/>
  </cols>
  <sheetData>
    <row r="2" spans="2:7" ht="27.75" customHeight="1">
      <c r="B2" s="93" t="s">
        <v>135</v>
      </c>
      <c r="C2" s="94"/>
      <c r="D2" s="94"/>
      <c r="E2" s="94"/>
      <c r="F2" s="94"/>
      <c r="G2" s="95"/>
    </row>
    <row r="3" ht="13.5" thickBot="1"/>
    <row r="4" spans="2:3" ht="13.5" thickBot="1">
      <c r="B4" s="2" t="s">
        <v>9</v>
      </c>
      <c r="C4" s="5" t="s">
        <v>68</v>
      </c>
    </row>
    <row r="6" spans="2:7" ht="87" customHeight="1">
      <c r="B6" s="3" t="s">
        <v>15</v>
      </c>
      <c r="C6" s="3" t="s">
        <v>74</v>
      </c>
      <c r="D6" s="3" t="s">
        <v>70</v>
      </c>
      <c r="E6" s="3" t="s">
        <v>10</v>
      </c>
      <c r="F6" s="3" t="s">
        <v>13</v>
      </c>
      <c r="G6" s="3" t="s">
        <v>14</v>
      </c>
    </row>
    <row r="7" spans="2:7" ht="12.75">
      <c r="B7" s="4" t="s">
        <v>0</v>
      </c>
      <c r="C7" s="72" t="s">
        <v>197</v>
      </c>
      <c r="D7" s="40" t="s">
        <v>198</v>
      </c>
      <c r="E7" s="40">
        <v>1</v>
      </c>
      <c r="F7" s="90">
        <v>0.04</v>
      </c>
      <c r="G7" s="1">
        <f>E7*F7</f>
        <v>0.04</v>
      </c>
    </row>
    <row r="8" spans="2:8" s="58" customFormat="1" ht="38.25">
      <c r="B8" s="46" t="s">
        <v>1</v>
      </c>
      <c r="C8" s="72" t="s">
        <v>204</v>
      </c>
      <c r="D8" s="54" t="s">
        <v>198</v>
      </c>
      <c r="E8" s="40">
        <v>1</v>
      </c>
      <c r="F8" s="91"/>
      <c r="G8" s="40">
        <f>E8*F7</f>
        <v>0.04</v>
      </c>
      <c r="H8"/>
    </row>
    <row r="9" spans="2:7" ht="25.5">
      <c r="B9" s="4" t="s">
        <v>2</v>
      </c>
      <c r="C9" s="72" t="s">
        <v>200</v>
      </c>
      <c r="D9" s="40" t="s">
        <v>198</v>
      </c>
      <c r="E9" s="40">
        <v>1</v>
      </c>
      <c r="F9" s="91"/>
      <c r="G9" s="1">
        <f>E9*F7</f>
        <v>0.04</v>
      </c>
    </row>
    <row r="10" spans="2:7" ht="18.75" customHeight="1">
      <c r="B10" s="4" t="s">
        <v>3</v>
      </c>
      <c r="C10" s="72" t="s">
        <v>201</v>
      </c>
      <c r="D10" s="40" t="s">
        <v>198</v>
      </c>
      <c r="E10" s="40">
        <v>1</v>
      </c>
      <c r="F10" s="91"/>
      <c r="G10" s="1">
        <f>E10*F7</f>
        <v>0.04</v>
      </c>
    </row>
    <row r="11" spans="2:7" ht="38.25">
      <c r="B11" s="4" t="s">
        <v>4</v>
      </c>
      <c r="C11" s="72" t="s">
        <v>219</v>
      </c>
      <c r="D11" s="54" t="s">
        <v>198</v>
      </c>
      <c r="E11" s="40">
        <v>1</v>
      </c>
      <c r="F11" s="91"/>
      <c r="G11" s="1">
        <f>E11*F7</f>
        <v>0.04</v>
      </c>
    </row>
    <row r="12" spans="2:7" ht="12.75">
      <c r="B12" s="4" t="s">
        <v>5</v>
      </c>
      <c r="C12" s="76" t="s">
        <v>223</v>
      </c>
      <c r="D12" s="84" t="s">
        <v>199</v>
      </c>
      <c r="E12" s="40">
        <v>0</v>
      </c>
      <c r="F12" s="91"/>
      <c r="G12" s="1">
        <f>E12*F7</f>
        <v>0</v>
      </c>
    </row>
    <row r="13" spans="2:7" ht="38.25">
      <c r="B13" s="4" t="s">
        <v>6</v>
      </c>
      <c r="C13" s="72" t="s">
        <v>202</v>
      </c>
      <c r="D13" s="40" t="s">
        <v>198</v>
      </c>
      <c r="E13" s="40">
        <v>1</v>
      </c>
      <c r="F13" s="91"/>
      <c r="G13" s="1">
        <f>E13*F7</f>
        <v>0.04</v>
      </c>
    </row>
    <row r="14" spans="2:8" ht="12.75">
      <c r="B14" s="4" t="s">
        <v>7</v>
      </c>
      <c r="C14" s="76" t="s">
        <v>223</v>
      </c>
      <c r="D14" s="84" t="s">
        <v>199</v>
      </c>
      <c r="E14" s="40">
        <v>0</v>
      </c>
      <c r="F14" s="91"/>
      <c r="G14" s="1">
        <f>E14*F7</f>
        <v>0</v>
      </c>
      <c r="H14" s="56"/>
    </row>
    <row r="15" spans="2:7" ht="25.5">
      <c r="B15" s="4" t="s">
        <v>8</v>
      </c>
      <c r="C15" s="72" t="s">
        <v>212</v>
      </c>
      <c r="D15" s="54" t="s">
        <v>213</v>
      </c>
      <c r="E15" s="40">
        <v>1</v>
      </c>
      <c r="F15" s="92"/>
      <c r="G15" s="1">
        <f>E15*F7</f>
        <v>0.04</v>
      </c>
    </row>
  </sheetData>
  <sheetProtection/>
  <mergeCells count="2">
    <mergeCell ref="F7:F15"/>
    <mergeCell ref="B2:G2"/>
  </mergeCells>
  <hyperlinks>
    <hyperlink ref="C7" r:id="rId1" display="http://prim-ahtarsk.ru/economy7203636.html"/>
    <hyperlink ref="C9" r:id="rId2" display="http://borodinskoe-sp.ru/inova_block_documentset/document/253670/"/>
    <hyperlink ref="C10" r:id="rId3" display="http://brinksp.ru/administratsiya/byudzhet-/"/>
    <hyperlink ref="C13" r:id="rId4" display="http://priazovskoe.ru/inova_block_documentset/652/card/?category=aktualnaya-versiya-byudzheta-munitsipalnogo-obrazovaniya"/>
    <hyperlink ref="C8" r:id="rId5" display="http://admin-ahtarskogo-sp.ru/index.php/администрация/экономика-и-финансы/бюджет.html"/>
    <hyperlink ref="C15" r:id="rId6" display="http://stepnogo-sp.ru/index.php/администрация/экономика/бюджет.html"/>
    <hyperlink ref="C11" r:id="rId7" display="http://adm-novopokrov.ru/index.php/администрация/экономика-и-финансы/бюджет.html"/>
  </hyperlinks>
  <printOptions/>
  <pageMargins left="0.75" right="0.75" top="1" bottom="1" header="0.5" footer="0.5"/>
  <pageSetup fitToHeight="1" fitToWidth="1" horizontalDpi="600" verticalDpi="600" orientation="landscape" paperSize="9" r:id="rId8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18"/>
  <sheetViews>
    <sheetView zoomScalePageLayoutView="0" workbookViewId="0" topLeftCell="A6">
      <selection activeCell="E7" sqref="E7"/>
    </sheetView>
  </sheetViews>
  <sheetFormatPr defaultColWidth="9.140625" defaultRowHeight="12.75"/>
  <cols>
    <col min="2" max="2" width="20.140625" style="0" bestFit="1" customWidth="1"/>
    <col min="3" max="3" width="42.7109375" style="0" customWidth="1"/>
    <col min="4" max="4" width="15.140625" style="0" customWidth="1"/>
    <col min="5" max="5" width="13.8515625" style="0" customWidth="1"/>
    <col min="6" max="6" width="10.57421875" style="0" customWidth="1"/>
    <col min="7" max="7" width="10.28125" style="0" customWidth="1"/>
    <col min="8" max="8" width="21.28125" style="0" customWidth="1"/>
  </cols>
  <sheetData>
    <row r="2" spans="2:7" ht="27.75" customHeight="1">
      <c r="B2" s="93" t="s">
        <v>171</v>
      </c>
      <c r="C2" s="94"/>
      <c r="D2" s="94"/>
      <c r="E2" s="94"/>
      <c r="F2" s="94"/>
      <c r="G2" s="95"/>
    </row>
    <row r="3" ht="13.5" thickBot="1"/>
    <row r="4" spans="2:3" ht="13.5" thickBot="1">
      <c r="B4" s="2" t="s">
        <v>9</v>
      </c>
      <c r="C4" s="5" t="s">
        <v>68</v>
      </c>
    </row>
    <row r="6" spans="2:7" ht="56.25" customHeight="1">
      <c r="B6" s="3" t="s">
        <v>15</v>
      </c>
      <c r="C6" s="3" t="s">
        <v>167</v>
      </c>
      <c r="D6" s="3" t="s">
        <v>70</v>
      </c>
      <c r="E6" s="3" t="s">
        <v>10</v>
      </c>
      <c r="F6" s="3" t="s">
        <v>13</v>
      </c>
      <c r="G6" s="3" t="s">
        <v>14</v>
      </c>
    </row>
    <row r="7" spans="2:7" ht="38.25">
      <c r="B7" s="4" t="s">
        <v>0</v>
      </c>
      <c r="C7" s="55" t="s">
        <v>203</v>
      </c>
      <c r="D7" s="57" t="s">
        <v>199</v>
      </c>
      <c r="E7" s="40">
        <v>0</v>
      </c>
      <c r="F7" s="90">
        <v>0.04</v>
      </c>
      <c r="G7" s="1">
        <f>E7*F7</f>
        <v>0</v>
      </c>
    </row>
    <row r="8" spans="2:7" ht="38.25">
      <c r="B8" s="4" t="s">
        <v>1</v>
      </c>
      <c r="C8" s="85" t="s">
        <v>204</v>
      </c>
      <c r="D8" s="37" t="s">
        <v>198</v>
      </c>
      <c r="E8" s="40">
        <v>1</v>
      </c>
      <c r="F8" s="91"/>
      <c r="G8" s="1">
        <f>E8*F7</f>
        <v>0.04</v>
      </c>
    </row>
    <row r="9" spans="2:7" ht="38.25">
      <c r="B9" s="4" t="s">
        <v>2</v>
      </c>
      <c r="C9" s="55" t="s">
        <v>206</v>
      </c>
      <c r="D9" s="37" t="s">
        <v>198</v>
      </c>
      <c r="E9" s="40">
        <v>1</v>
      </c>
      <c r="F9" s="91"/>
      <c r="G9" s="1">
        <f>E9*F7</f>
        <v>0.04</v>
      </c>
    </row>
    <row r="10" spans="2:7" ht="12.75">
      <c r="B10" s="4" t="s">
        <v>3</v>
      </c>
      <c r="C10" s="55" t="s">
        <v>217</v>
      </c>
      <c r="D10" s="57" t="s">
        <v>198</v>
      </c>
      <c r="E10" s="40">
        <v>1</v>
      </c>
      <c r="F10" s="91"/>
      <c r="G10" s="1">
        <f>E10*F7</f>
        <v>0.04</v>
      </c>
    </row>
    <row r="11" spans="2:7" ht="63.75">
      <c r="B11" s="4" t="s">
        <v>4</v>
      </c>
      <c r="C11" s="76" t="s">
        <v>218</v>
      </c>
      <c r="D11" s="57" t="s">
        <v>198</v>
      </c>
      <c r="E11" s="40">
        <v>1</v>
      </c>
      <c r="F11" s="91"/>
      <c r="G11" s="1">
        <f>E11*F7</f>
        <v>0.04</v>
      </c>
    </row>
    <row r="12" spans="2:7" ht="51">
      <c r="B12" s="4" t="s">
        <v>5</v>
      </c>
      <c r="C12" s="72" t="s">
        <v>224</v>
      </c>
      <c r="D12" s="57" t="s">
        <v>199</v>
      </c>
      <c r="E12" s="40">
        <v>0</v>
      </c>
      <c r="F12" s="91"/>
      <c r="G12" s="1">
        <f>E12*F7</f>
        <v>0</v>
      </c>
    </row>
    <row r="13" spans="2:7" ht="51">
      <c r="B13" s="4" t="s">
        <v>6</v>
      </c>
      <c r="C13" s="77" t="s">
        <v>216</v>
      </c>
      <c r="D13" s="57" t="s">
        <v>213</v>
      </c>
      <c r="E13" s="40">
        <v>1</v>
      </c>
      <c r="F13" s="91"/>
      <c r="G13" s="1">
        <f>E13*F7</f>
        <v>0.04</v>
      </c>
    </row>
    <row r="14" spans="2:8" ht="12.75">
      <c r="B14" s="4" t="s">
        <v>7</v>
      </c>
      <c r="C14" s="83" t="s">
        <v>209</v>
      </c>
      <c r="D14" s="57" t="s">
        <v>199</v>
      </c>
      <c r="E14" s="40">
        <v>0</v>
      </c>
      <c r="F14" s="91"/>
      <c r="G14" s="1">
        <f>E14*F7</f>
        <v>0</v>
      </c>
      <c r="H14" s="74"/>
    </row>
    <row r="15" spans="2:7" ht="39" customHeight="1">
      <c r="B15" s="4" t="s">
        <v>8</v>
      </c>
      <c r="C15" s="77" t="s">
        <v>214</v>
      </c>
      <c r="D15" s="57" t="s">
        <v>198</v>
      </c>
      <c r="E15" s="40">
        <v>1</v>
      </c>
      <c r="F15" s="92"/>
      <c r="G15" s="1">
        <f>E15*F7</f>
        <v>0.04</v>
      </c>
    </row>
    <row r="18" ht="12.75">
      <c r="B18" s="20"/>
    </row>
  </sheetData>
  <sheetProtection/>
  <mergeCells count="2">
    <mergeCell ref="F7:F15"/>
    <mergeCell ref="B2:G2"/>
  </mergeCells>
  <hyperlinks>
    <hyperlink ref="C7" r:id="rId1" display="http://prim-ahtarsk.ru/cityadmin9897919.htm в части решения об исполнении, информация о ежеквартальных отчетах не найдена "/>
    <hyperlink ref="C8" r:id="rId2" display="http://admin-ahtarskogo-sp.ru/index.php/администрация/экономика-и-финансы/бюджет.html"/>
    <hyperlink ref="C9" r:id="rId3" display="http://borodinskoe-sp.ru/inova_block_documentset/530/card/?q=бюджет+МО+2018&amp;page=2"/>
    <hyperlink ref="C10" r:id="rId4" display="http://brinksp.ru/administratsiya/byudzhet-/ "/>
    <hyperlink ref="C12" r:id="rId5" display="http://admin-osp.ru/администрация/экономика/статистическая-информация, не размещены ежеквартальные отчеты"/>
  </hyperlinks>
  <printOptions/>
  <pageMargins left="0.75" right="0.75" top="1" bottom="1" header="0.5" footer="0.5"/>
  <pageSetup fitToHeight="1" fitToWidth="1" horizontalDpi="600" verticalDpi="600" orientation="landscape" paperSize="9" scale="96" r:id="rId6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8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20.140625" style="0" bestFit="1" customWidth="1"/>
    <col min="3" max="3" width="33.28125" style="0" bestFit="1" customWidth="1"/>
    <col min="4" max="4" width="26.00390625" style="0" customWidth="1"/>
    <col min="5" max="5" width="10.851562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48" customHeight="1">
      <c r="B2" s="93" t="s">
        <v>162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88" t="s">
        <v>68</v>
      </c>
      <c r="D4" s="88"/>
    </row>
    <row r="5" spans="8:9" ht="12.75">
      <c r="H5" s="27"/>
      <c r="I5" s="27"/>
    </row>
    <row r="6" spans="2:9" ht="116.25" customHeight="1">
      <c r="B6" s="3" t="s">
        <v>15</v>
      </c>
      <c r="C6" s="3" t="s">
        <v>168</v>
      </c>
      <c r="D6" s="3" t="s">
        <v>70</v>
      </c>
      <c r="E6" s="3" t="s">
        <v>10</v>
      </c>
      <c r="F6" s="3" t="s">
        <v>13</v>
      </c>
      <c r="G6" s="3" t="s">
        <v>14</v>
      </c>
      <c r="H6" s="67"/>
      <c r="I6" s="68"/>
    </row>
    <row r="7" spans="2:9" ht="12.75">
      <c r="B7" s="4" t="s">
        <v>0</v>
      </c>
      <c r="C7" s="35" t="s">
        <v>205</v>
      </c>
      <c r="D7" s="37" t="s">
        <v>199</v>
      </c>
      <c r="E7" s="15">
        <v>0</v>
      </c>
      <c r="F7" s="90">
        <v>0.03</v>
      </c>
      <c r="G7" s="13">
        <f>E7*F7</f>
        <v>0</v>
      </c>
      <c r="H7" s="69"/>
      <c r="I7" s="28"/>
    </row>
    <row r="8" spans="2:9" ht="12.75">
      <c r="B8" s="4" t="s">
        <v>1</v>
      </c>
      <c r="C8" s="78" t="s">
        <v>205</v>
      </c>
      <c r="D8" s="37" t="s">
        <v>199</v>
      </c>
      <c r="E8" s="15">
        <v>0</v>
      </c>
      <c r="F8" s="91"/>
      <c r="G8" s="13">
        <f>E8*F7</f>
        <v>0</v>
      </c>
      <c r="H8" s="69"/>
      <c r="I8" s="28"/>
    </row>
    <row r="9" spans="2:9" ht="25.5">
      <c r="B9" s="4" t="s">
        <v>2</v>
      </c>
      <c r="C9" s="86" t="s">
        <v>207</v>
      </c>
      <c r="D9" s="37" t="s">
        <v>198</v>
      </c>
      <c r="E9" s="15">
        <v>1</v>
      </c>
      <c r="F9" s="91"/>
      <c r="G9" s="13">
        <f>E9*F7</f>
        <v>0.03</v>
      </c>
      <c r="H9" s="73"/>
      <c r="I9" s="66"/>
    </row>
    <row r="10" spans="2:9" ht="12.75">
      <c r="B10" s="4" t="s">
        <v>3</v>
      </c>
      <c r="C10" s="78" t="s">
        <v>205</v>
      </c>
      <c r="D10" s="37" t="s">
        <v>199</v>
      </c>
      <c r="E10" s="15">
        <v>0</v>
      </c>
      <c r="F10" s="91"/>
      <c r="G10" s="13">
        <f>E10*F7</f>
        <v>0</v>
      </c>
      <c r="H10" s="73"/>
      <c r="I10" s="66"/>
    </row>
    <row r="11" spans="2:9" ht="12.75">
      <c r="B11" s="4" t="s">
        <v>4</v>
      </c>
      <c r="C11" s="78" t="s">
        <v>210</v>
      </c>
      <c r="D11" s="37" t="s">
        <v>199</v>
      </c>
      <c r="E11" s="15">
        <v>0</v>
      </c>
      <c r="F11" s="91"/>
      <c r="G11" s="13">
        <f>E11*F7</f>
        <v>0</v>
      </c>
      <c r="H11" s="65"/>
      <c r="I11" s="66"/>
    </row>
    <row r="12" spans="2:9" ht="12.75">
      <c r="B12" s="4" t="s">
        <v>5</v>
      </c>
      <c r="C12" s="35" t="s">
        <v>205</v>
      </c>
      <c r="D12" s="37" t="s">
        <v>199</v>
      </c>
      <c r="E12" s="15">
        <v>0</v>
      </c>
      <c r="F12" s="91"/>
      <c r="G12" s="13">
        <f>E12*F7</f>
        <v>0</v>
      </c>
      <c r="H12" s="65"/>
      <c r="I12" s="66"/>
    </row>
    <row r="13" spans="2:9" ht="12.75">
      <c r="B13" s="4" t="s">
        <v>6</v>
      </c>
      <c r="C13" s="87" t="s">
        <v>208</v>
      </c>
      <c r="D13" s="37" t="s">
        <v>198</v>
      </c>
      <c r="E13" s="15">
        <v>1</v>
      </c>
      <c r="F13" s="91"/>
      <c r="G13" s="13">
        <f>E13*F7</f>
        <v>0.03</v>
      </c>
      <c r="H13" s="65"/>
      <c r="I13" s="66"/>
    </row>
    <row r="14" spans="2:9" ht="12.75">
      <c r="B14" s="4" t="s">
        <v>7</v>
      </c>
      <c r="C14" s="35" t="s">
        <v>210</v>
      </c>
      <c r="D14" s="37" t="s">
        <v>199</v>
      </c>
      <c r="E14" s="15">
        <v>0</v>
      </c>
      <c r="F14" s="91"/>
      <c r="G14" s="13">
        <f>E14*F7</f>
        <v>0</v>
      </c>
      <c r="H14" s="65"/>
      <c r="I14" s="66"/>
    </row>
    <row r="15" spans="2:9" ht="38.25">
      <c r="B15" s="52" t="s">
        <v>8</v>
      </c>
      <c r="C15" s="55" t="s">
        <v>215</v>
      </c>
      <c r="D15" s="57" t="s">
        <v>198</v>
      </c>
      <c r="E15" s="53">
        <v>1</v>
      </c>
      <c r="F15" s="92"/>
      <c r="G15" s="13">
        <f>E15*F7</f>
        <v>0.03</v>
      </c>
      <c r="H15" s="65"/>
      <c r="I15" s="66"/>
    </row>
    <row r="16" spans="2:9" ht="12.75">
      <c r="B16" s="32"/>
      <c r="C16" s="70"/>
      <c r="D16" s="70"/>
      <c r="E16" s="32"/>
      <c r="H16" s="33"/>
      <c r="I16" s="33"/>
    </row>
    <row r="17" spans="2:9" ht="12.75">
      <c r="B17" s="27"/>
      <c r="C17" s="27"/>
      <c r="D17" s="27"/>
      <c r="E17" s="27"/>
      <c r="H17" s="33"/>
      <c r="I17" s="33"/>
    </row>
    <row r="18" spans="2:9" ht="12.75">
      <c r="B18" s="27"/>
      <c r="C18" s="27"/>
      <c r="D18" s="27"/>
      <c r="E18" s="27"/>
      <c r="H18" s="33"/>
      <c r="I18" s="33"/>
    </row>
  </sheetData>
  <sheetProtection/>
  <mergeCells count="3">
    <mergeCell ref="C4:D4"/>
    <mergeCell ref="B2:I2"/>
    <mergeCell ref="F7:F15"/>
  </mergeCells>
  <hyperlinks>
    <hyperlink ref="C9" r:id="rId1" display="http://borodinskoe-sp.ru/economy/budget/"/>
    <hyperlink ref="C13" r:id="rId2" display="http://priazovskoe.ru/economy/budget/"/>
    <hyperlink ref="C15" r:id="rId3" display="http://stepnogo-sp.ru/index.php/бюджет-для-граждан.html"/>
  </hyperlinks>
  <printOptions/>
  <pageMargins left="0.75" right="0.75" top="1" bottom="1" header="0.5" footer="0.5"/>
  <pageSetup fitToHeight="1" fitToWidth="1" horizontalDpi="600" verticalDpi="600" orientation="landscape" paperSize="9" scale="89" r:id="rId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8"/>
  <sheetViews>
    <sheetView zoomScalePageLayoutView="0" workbookViewId="0" topLeftCell="Q1">
      <selection activeCell="U47" sqref="U47"/>
    </sheetView>
  </sheetViews>
  <sheetFormatPr defaultColWidth="9.140625" defaultRowHeight="12.75"/>
  <cols>
    <col min="1" max="1" width="0.2890625" style="0" customWidth="1"/>
    <col min="2" max="2" width="20.140625" style="0" bestFit="1" customWidth="1"/>
    <col min="3" max="3" width="9.28125" style="0" customWidth="1"/>
    <col min="4" max="4" width="7.8515625" style="0" customWidth="1"/>
    <col min="5" max="5" width="8.00390625" style="0" customWidth="1"/>
    <col min="6" max="6" width="6.8515625" style="0" customWidth="1"/>
    <col min="7" max="7" width="7.8515625" style="0" customWidth="1"/>
    <col min="8" max="8" width="7.00390625" style="0" customWidth="1"/>
    <col min="9" max="9" width="7.28125" style="0" customWidth="1"/>
    <col min="10" max="10" width="7.00390625" style="0" customWidth="1"/>
    <col min="11" max="11" width="6.8515625" style="0" customWidth="1"/>
    <col min="12" max="12" width="7.00390625" style="0" customWidth="1"/>
    <col min="13" max="13" width="7.421875" style="0" customWidth="1"/>
    <col min="14" max="14" width="7.00390625" style="0" customWidth="1"/>
    <col min="15" max="15" width="9.00390625" style="0" customWidth="1"/>
    <col min="18" max="19" width="9.28125" style="0" customWidth="1"/>
    <col min="21" max="21" width="9.8515625" style="0" customWidth="1"/>
    <col min="23" max="23" width="9.57421875" style="0" customWidth="1"/>
    <col min="24" max="24" width="9.28125" style="0" customWidth="1"/>
    <col min="25" max="25" width="9.421875" style="0" customWidth="1"/>
    <col min="26" max="26" width="6.8515625" style="0" customWidth="1"/>
    <col min="29" max="29" width="20.140625" style="0" bestFit="1" customWidth="1"/>
  </cols>
  <sheetData>
    <row r="2" spans="2:7" ht="27.75" customHeight="1">
      <c r="B2" s="93" t="s">
        <v>75</v>
      </c>
      <c r="C2" s="94"/>
      <c r="D2" s="94"/>
      <c r="E2" s="94"/>
      <c r="F2" s="94"/>
      <c r="G2" s="95"/>
    </row>
    <row r="4" spans="2:29" ht="87" customHeight="1" hidden="1">
      <c r="B4" s="3" t="s">
        <v>15</v>
      </c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109</v>
      </c>
    </row>
    <row r="5" spans="2:29" ht="12.75" hidden="1">
      <c r="B5" s="4" t="s">
        <v>0</v>
      </c>
      <c r="C5" s="14">
        <f>'1.1'!K7</f>
        <v>0.04</v>
      </c>
      <c r="D5" s="14">
        <f>'1.2'!J7</f>
        <v>0.04</v>
      </c>
      <c r="E5" s="14">
        <f>'1.3'!J7</f>
        <v>0.04</v>
      </c>
      <c r="F5" s="24">
        <f>'1.4'!J7</f>
        <v>0.04</v>
      </c>
      <c r="G5" s="14">
        <f>'1.5'!I7</f>
        <v>0.04</v>
      </c>
      <c r="H5" s="14">
        <f>'2.1'!G7</f>
        <v>0.04</v>
      </c>
      <c r="I5" s="14">
        <f>'2.2'!J7</f>
        <v>0.04</v>
      </c>
      <c r="J5" s="14">
        <f>'2.3'!K7</f>
        <v>0.006</v>
      </c>
      <c r="K5" s="14" t="e">
        <f>#REF!</f>
        <v>#REF!</v>
      </c>
      <c r="L5" s="14">
        <f>'3.1'!I7</f>
        <v>0.018</v>
      </c>
      <c r="M5" s="14" t="e">
        <f>#REF!</f>
        <v>#REF!</v>
      </c>
      <c r="N5" s="14">
        <f>'3.2'!I7</f>
        <v>0.041</v>
      </c>
      <c r="O5" s="14">
        <f>'4.1'!I7</f>
        <v>0.036</v>
      </c>
      <c r="P5" s="14">
        <f>'4.2'!K7</f>
        <v>0.029</v>
      </c>
      <c r="Q5" s="14" t="e">
        <f>#REF!</f>
        <v>#REF!</v>
      </c>
      <c r="R5" s="14">
        <f>'4.4'!I7</f>
        <v>0.041</v>
      </c>
      <c r="S5" s="14">
        <f>'6.5'!I7</f>
        <v>0</v>
      </c>
      <c r="T5" s="14" t="e">
        <f>#REF!</f>
        <v>#REF!</v>
      </c>
      <c r="U5" s="14">
        <f>'5.1'!I7</f>
        <v>0.046</v>
      </c>
      <c r="V5" s="14">
        <f>'5.2'!K7</f>
        <v>0.045</v>
      </c>
      <c r="W5" s="14">
        <f>'6.1'!I7</f>
        <v>0.03</v>
      </c>
      <c r="X5" s="14">
        <f>'6.2'!H7</f>
        <v>0.04</v>
      </c>
      <c r="Y5" s="14">
        <f>'6.3'!G7</f>
        <v>0.04</v>
      </c>
      <c r="Z5" s="14">
        <f>'6.4'!G7</f>
        <v>0</v>
      </c>
      <c r="AA5" s="14" t="e">
        <f>SUM(C5:Z5)</f>
        <v>#REF!</v>
      </c>
      <c r="AB5" s="23" t="s">
        <v>110</v>
      </c>
      <c r="AC5" s="4" t="s">
        <v>0</v>
      </c>
    </row>
    <row r="6" spans="2:29" ht="12.75" hidden="1">
      <c r="B6" s="4" t="s">
        <v>1</v>
      </c>
      <c r="C6" s="14">
        <f>'1.1'!K8</f>
        <v>0.04</v>
      </c>
      <c r="D6" s="14">
        <f>'1.2'!J8</f>
        <v>0.04</v>
      </c>
      <c r="E6" s="14">
        <f>'1.3'!J8</f>
        <v>0.04</v>
      </c>
      <c r="F6" s="24">
        <f>'1.4'!J8</f>
        <v>0.04</v>
      </c>
      <c r="G6" s="14">
        <f>'1.5'!I8</f>
        <v>0.04</v>
      </c>
      <c r="H6" s="14">
        <f>'2.1'!G8</f>
        <v>0.037</v>
      </c>
      <c r="I6" s="14">
        <f>'2.2'!J8</f>
        <v>0.04</v>
      </c>
      <c r="J6" s="14">
        <f>'2.3'!K8</f>
        <v>0.001</v>
      </c>
      <c r="K6" s="14" t="e">
        <f>#REF!</f>
        <v>#REF!</v>
      </c>
      <c r="L6" s="14">
        <f>'3.1'!I8</f>
        <v>0.06</v>
      </c>
      <c r="M6" s="14" t="e">
        <f>#REF!</f>
        <v>#REF!</v>
      </c>
      <c r="N6" s="14">
        <f>'3.2'!I8</f>
        <v>0.042</v>
      </c>
      <c r="O6" s="14">
        <f>'4.1'!I8</f>
        <v>0.021</v>
      </c>
      <c r="P6" s="14">
        <f>'4.2'!K8</f>
        <v>0.013</v>
      </c>
      <c r="Q6" s="14" t="e">
        <f>#REF!</f>
        <v>#REF!</v>
      </c>
      <c r="R6" s="14">
        <f>'4.4'!I8</f>
        <v>0</v>
      </c>
      <c r="S6" s="14">
        <f>'6.5'!I8</f>
        <v>0</v>
      </c>
      <c r="T6" s="14" t="e">
        <f>#REF!</f>
        <v>#REF!</v>
      </c>
      <c r="U6" s="14">
        <f>'5.1'!I8</f>
        <v>0.047</v>
      </c>
      <c r="V6" s="14">
        <f>'5.2'!K8</f>
        <v>0.034</v>
      </c>
      <c r="W6" s="14">
        <f>'6.1'!I8</f>
        <v>0.03</v>
      </c>
      <c r="X6" s="14">
        <f>'6.2'!H8</f>
        <v>0.04</v>
      </c>
      <c r="Y6" s="14">
        <f>'6.3'!G8</f>
        <v>0.04</v>
      </c>
      <c r="Z6" s="14">
        <f>'6.4'!G8</f>
        <v>0.04</v>
      </c>
      <c r="AA6" s="14" t="e">
        <f aca="true" t="shared" si="0" ref="AA6:AA13">SUM(C6:Z6)</f>
        <v>#REF!</v>
      </c>
      <c r="AB6" s="23" t="s">
        <v>113</v>
      </c>
      <c r="AC6" s="4" t="s">
        <v>1</v>
      </c>
    </row>
    <row r="7" spans="2:29" ht="12.75" hidden="1">
      <c r="B7" s="4" t="s">
        <v>2</v>
      </c>
      <c r="C7" s="14">
        <f>'1.1'!K9</f>
        <v>0.04</v>
      </c>
      <c r="D7" s="14">
        <f>'1.2'!J9</f>
        <v>0.04</v>
      </c>
      <c r="E7" s="14">
        <f>'1.3'!J9</f>
        <v>0.04</v>
      </c>
      <c r="F7" s="24">
        <f>'1.4'!J9</f>
        <v>0.04</v>
      </c>
      <c r="G7" s="14">
        <f>'1.5'!I9</f>
        <v>0.04</v>
      </c>
      <c r="H7" s="14">
        <f>'2.1'!G9</f>
        <v>0.008908162316985156</v>
      </c>
      <c r="I7" s="14">
        <f>'2.2'!J9</f>
        <v>0.04</v>
      </c>
      <c r="J7" s="14">
        <f>'2.3'!K9</f>
        <v>0</v>
      </c>
      <c r="K7" s="14" t="e">
        <f>#REF!</f>
        <v>#REF!</v>
      </c>
      <c r="L7" s="14">
        <f>'3.1'!I9</f>
        <v>0.023</v>
      </c>
      <c r="M7" s="14" t="e">
        <f>#REF!</f>
        <v>#REF!</v>
      </c>
      <c r="N7" s="14">
        <f>'3.2'!I9</f>
        <v>0</v>
      </c>
      <c r="O7" s="14">
        <f>'4.1'!I9</f>
        <v>0.041</v>
      </c>
      <c r="P7" s="14">
        <f>'4.2'!K9</f>
        <v>0.026</v>
      </c>
      <c r="Q7" s="14" t="e">
        <f>#REF!</f>
        <v>#REF!</v>
      </c>
      <c r="R7" s="14">
        <f>'4.4'!I9</f>
        <v>0.019</v>
      </c>
      <c r="S7" s="14">
        <f>'6.5'!I9</f>
        <v>0</v>
      </c>
      <c r="T7" s="14" t="e">
        <f>#REF!</f>
        <v>#REF!</v>
      </c>
      <c r="U7" s="14">
        <f>'5.1'!I9</f>
        <v>0</v>
      </c>
      <c r="V7" s="14">
        <f>'5.2'!K9</f>
        <v>0.005</v>
      </c>
      <c r="W7" s="14">
        <f>'6.1'!I9</f>
        <v>0.03</v>
      </c>
      <c r="X7" s="14">
        <f>'6.2'!H9</f>
        <v>0.04</v>
      </c>
      <c r="Y7" s="14">
        <f>'6.3'!G9</f>
        <v>0.04</v>
      </c>
      <c r="Z7" s="14">
        <f>'6.4'!G9</f>
        <v>0.04</v>
      </c>
      <c r="AA7" s="14" t="e">
        <f t="shared" si="0"/>
        <v>#REF!</v>
      </c>
      <c r="AB7" s="23" t="s">
        <v>111</v>
      </c>
      <c r="AC7" s="4" t="s">
        <v>2</v>
      </c>
    </row>
    <row r="8" spans="2:29" ht="12.75" hidden="1">
      <c r="B8" s="4" t="s">
        <v>3</v>
      </c>
      <c r="C8" s="14">
        <f>'1.1'!K10</f>
        <v>0.04</v>
      </c>
      <c r="D8" s="14">
        <f>'1.2'!J10</f>
        <v>0.04</v>
      </c>
      <c r="E8" s="14">
        <f>'1.3'!J10</f>
        <v>0.04</v>
      </c>
      <c r="F8" s="24">
        <f>'1.4'!J10</f>
        <v>0.04</v>
      </c>
      <c r="G8" s="14">
        <f>'1.5'!I10</f>
        <v>0.04</v>
      </c>
      <c r="H8" s="14">
        <f>'2.1'!G10</f>
        <v>0.04</v>
      </c>
      <c r="I8" s="14">
        <f>'2.2'!J10</f>
        <v>0.04</v>
      </c>
      <c r="J8" s="14">
        <f>'2.3'!K10</f>
        <v>0.011</v>
      </c>
      <c r="K8" s="14" t="e">
        <f>#REF!</f>
        <v>#REF!</v>
      </c>
      <c r="L8" s="14">
        <f>'3.1'!I10</f>
        <v>0.034</v>
      </c>
      <c r="M8" s="14" t="e">
        <f>#REF!</f>
        <v>#REF!</v>
      </c>
      <c r="N8" s="14">
        <f>'3.2'!I10</f>
        <v>0.046</v>
      </c>
      <c r="O8" s="14">
        <f>'4.1'!I10</f>
        <v>0.048</v>
      </c>
      <c r="P8" s="14">
        <f>'4.2'!K10</f>
        <v>0.05</v>
      </c>
      <c r="Q8" s="14" t="e">
        <f>#REF!</f>
        <v>#REF!</v>
      </c>
      <c r="R8" s="14">
        <f>'4.4'!I10</f>
        <v>0.05</v>
      </c>
      <c r="S8" s="14">
        <f>'6.5'!I10</f>
        <v>0</v>
      </c>
      <c r="T8" s="14" t="e">
        <f>#REF!</f>
        <v>#REF!</v>
      </c>
      <c r="U8" s="14">
        <f>'5.1'!I10</f>
        <v>0.031</v>
      </c>
      <c r="V8" s="14">
        <f>'5.2'!K10</f>
        <v>0.021</v>
      </c>
      <c r="W8" s="14">
        <f>'6.1'!I10</f>
        <v>0</v>
      </c>
      <c r="X8" s="14">
        <f>'6.2'!H10</f>
        <v>0.04</v>
      </c>
      <c r="Y8" s="14">
        <f>'6.3'!G10</f>
        <v>0.04</v>
      </c>
      <c r="Z8" s="14">
        <f>'6.4'!G10</f>
        <v>0.04</v>
      </c>
      <c r="AA8" s="14" t="e">
        <f t="shared" si="0"/>
        <v>#REF!</v>
      </c>
      <c r="AB8" s="23">
        <v>3</v>
      </c>
      <c r="AC8" s="4" t="s">
        <v>3</v>
      </c>
    </row>
    <row r="9" spans="2:29" ht="12.75" hidden="1">
      <c r="B9" s="4" t="s">
        <v>4</v>
      </c>
      <c r="C9" s="14">
        <f>'1.1'!K11</f>
        <v>0.04</v>
      </c>
      <c r="D9" s="14">
        <f>'1.2'!J11</f>
        <v>0.04</v>
      </c>
      <c r="E9" s="14">
        <f>'1.3'!J11</f>
        <v>0.04</v>
      </c>
      <c r="F9" s="24">
        <f>'1.4'!J11</f>
        <v>0.04</v>
      </c>
      <c r="G9" s="14">
        <f>'1.5'!I11</f>
        <v>0.04</v>
      </c>
      <c r="H9" s="14">
        <f>'2.1'!G11</f>
        <v>0</v>
      </c>
      <c r="I9" s="14">
        <f>'2.2'!J11</f>
        <v>0.04</v>
      </c>
      <c r="J9" s="14">
        <f>'2.3'!K11</f>
        <v>0.007</v>
      </c>
      <c r="K9" s="14" t="e">
        <f>#REF!</f>
        <v>#REF!</v>
      </c>
      <c r="L9" s="14">
        <f>'3.1'!I11</f>
        <v>0.017</v>
      </c>
      <c r="M9" s="14" t="e">
        <f>#REF!</f>
        <v>#REF!</v>
      </c>
      <c r="N9" s="14">
        <f>'3.2'!I11</f>
        <v>0.05</v>
      </c>
      <c r="O9" s="14">
        <f>'4.1'!I11</f>
        <v>0.04</v>
      </c>
      <c r="P9" s="14">
        <f>'4.2'!K11</f>
        <v>0</v>
      </c>
      <c r="Q9" s="14" t="e">
        <f>#REF!</f>
        <v>#REF!</v>
      </c>
      <c r="R9" s="14">
        <f>'4.4'!I11</f>
        <v>0</v>
      </c>
      <c r="S9" s="14">
        <f>'6.5'!I11</f>
        <v>0</v>
      </c>
      <c r="T9" s="14" t="e">
        <f>#REF!</f>
        <v>#REF!</v>
      </c>
      <c r="U9" s="14">
        <f>'5.1'!I11</f>
        <v>0.011</v>
      </c>
      <c r="V9" s="14">
        <f>'5.2'!K11</f>
        <v>0.05</v>
      </c>
      <c r="W9" s="14">
        <f>'6.1'!I11</f>
        <v>0.03</v>
      </c>
      <c r="X9" s="14">
        <f>'6.2'!H11</f>
        <v>0.04</v>
      </c>
      <c r="Y9" s="14">
        <f>'6.3'!G11</f>
        <v>0.04</v>
      </c>
      <c r="Z9" s="14">
        <f>'6.4'!G11</f>
        <v>0.04</v>
      </c>
      <c r="AA9" s="14" t="e">
        <f t="shared" si="0"/>
        <v>#REF!</v>
      </c>
      <c r="AB9" s="23">
        <v>8</v>
      </c>
      <c r="AC9" s="4" t="s">
        <v>4</v>
      </c>
    </row>
    <row r="10" spans="2:29" ht="12.75" hidden="1">
      <c r="B10" s="4" t="s">
        <v>5</v>
      </c>
      <c r="C10" s="14">
        <f>'1.1'!K12</f>
        <v>0.04</v>
      </c>
      <c r="D10" s="14">
        <f>'1.2'!J12</f>
        <v>0.04</v>
      </c>
      <c r="E10" s="14">
        <f>'1.3'!J12</f>
        <v>0.04</v>
      </c>
      <c r="F10" s="24">
        <f>'1.4'!J12</f>
        <v>0.04</v>
      </c>
      <c r="G10" s="14">
        <f>'1.5'!I12</f>
        <v>0.04</v>
      </c>
      <c r="H10" s="14">
        <f>'2.1'!G12</f>
        <v>0.029</v>
      </c>
      <c r="I10" s="14">
        <f>'2.2'!J12</f>
        <v>0.04</v>
      </c>
      <c r="J10" s="14">
        <f>'2.3'!K12</f>
        <v>0.03</v>
      </c>
      <c r="K10" s="14" t="e">
        <f>#REF!</f>
        <v>#REF!</v>
      </c>
      <c r="L10" s="14">
        <f>'3.1'!I12</f>
        <v>0.036</v>
      </c>
      <c r="M10" s="14" t="e">
        <f>#REF!</f>
        <v>#REF!</v>
      </c>
      <c r="N10" s="14">
        <f>'3.2'!I12</f>
        <v>0.048</v>
      </c>
      <c r="O10" s="14">
        <f>'4.1'!I12</f>
        <v>0.05</v>
      </c>
      <c r="P10" s="14">
        <f>'4.2'!K12</f>
        <v>0.036</v>
      </c>
      <c r="Q10" s="14" t="e">
        <f>#REF!</f>
        <v>#REF!</v>
      </c>
      <c r="R10" s="14">
        <f>'4.4'!I12</f>
        <v>0.035</v>
      </c>
      <c r="S10" s="14">
        <f>'6.5'!I12</f>
        <v>0</v>
      </c>
      <c r="T10" s="14" t="e">
        <f>#REF!</f>
        <v>#REF!</v>
      </c>
      <c r="U10" s="14">
        <f>'5.1'!I12</f>
        <v>0.041</v>
      </c>
      <c r="V10" s="14">
        <f>'5.2'!K12</f>
        <v>0.04</v>
      </c>
      <c r="W10" s="14">
        <f>'6.1'!I12</f>
        <v>0.03</v>
      </c>
      <c r="X10" s="14">
        <f>'6.2'!H12</f>
        <v>0.04</v>
      </c>
      <c r="Y10" s="14">
        <f>'6.3'!G12</f>
        <v>0</v>
      </c>
      <c r="Z10" s="14">
        <f>'6.4'!G12</f>
        <v>0</v>
      </c>
      <c r="AA10" s="14" t="e">
        <f t="shared" si="0"/>
        <v>#REF!</v>
      </c>
      <c r="AB10" s="23" t="s">
        <v>112</v>
      </c>
      <c r="AC10" s="4" t="s">
        <v>5</v>
      </c>
    </row>
    <row r="11" spans="2:29" ht="12.75" hidden="1">
      <c r="B11" s="4" t="s">
        <v>6</v>
      </c>
      <c r="C11" s="14">
        <f>'1.1'!K13</f>
        <v>0.04</v>
      </c>
      <c r="D11" s="14">
        <f>'1.2'!J13</f>
        <v>0.04</v>
      </c>
      <c r="E11" s="14">
        <f>'1.3'!J13</f>
        <v>0.04</v>
      </c>
      <c r="F11" s="24">
        <f>'1.4'!J13</f>
        <v>0.04</v>
      </c>
      <c r="G11" s="14">
        <f>'1.5'!I13</f>
        <v>0.04</v>
      </c>
      <c r="H11" s="14">
        <f>'2.1'!G13</f>
        <v>0.034</v>
      </c>
      <c r="I11" s="14">
        <f>'2.2'!J13</f>
        <v>0.04</v>
      </c>
      <c r="J11" s="14">
        <f>'2.3'!K13</f>
        <v>0.023</v>
      </c>
      <c r="K11" s="14" t="e">
        <f>#REF!</f>
        <v>#REF!</v>
      </c>
      <c r="L11" s="14">
        <f>'3.1'!I13</f>
        <v>0</v>
      </c>
      <c r="M11" s="14" t="e">
        <f>#REF!</f>
        <v>#REF!</v>
      </c>
      <c r="N11" s="14">
        <f>'3.2'!I13</f>
        <v>0.036</v>
      </c>
      <c r="O11" s="14">
        <f>'4.1'!I13</f>
        <v>0.018</v>
      </c>
      <c r="P11" s="14">
        <f>'4.2'!K13</f>
        <v>0.04</v>
      </c>
      <c r="Q11" s="14" t="e">
        <f>#REF!</f>
        <v>#REF!</v>
      </c>
      <c r="R11" s="14">
        <f>'4.4'!I13</f>
        <v>0.039</v>
      </c>
      <c r="S11" s="14">
        <f>'6.5'!I13</f>
        <v>0</v>
      </c>
      <c r="T11" s="14" t="e">
        <f>#REF!</f>
        <v>#REF!</v>
      </c>
      <c r="U11" s="14">
        <f>'5.1'!I13</f>
        <v>0.05</v>
      </c>
      <c r="V11" s="14">
        <f>'5.2'!K13</f>
        <v>0</v>
      </c>
      <c r="W11" s="14">
        <f>'6.1'!I13</f>
        <v>0.03</v>
      </c>
      <c r="X11" s="14">
        <f>'6.2'!H13</f>
        <v>0.04</v>
      </c>
      <c r="Y11" s="14">
        <f>'6.3'!G13</f>
        <v>0.04</v>
      </c>
      <c r="Z11" s="14">
        <f>'6.4'!G13</f>
        <v>0.04</v>
      </c>
      <c r="AA11" s="14" t="e">
        <f t="shared" si="0"/>
        <v>#REF!</v>
      </c>
      <c r="AB11" s="23">
        <v>6</v>
      </c>
      <c r="AC11" s="4" t="s">
        <v>6</v>
      </c>
    </row>
    <row r="12" spans="2:29" ht="12.75" hidden="1">
      <c r="B12" s="4" t="s">
        <v>7</v>
      </c>
      <c r="C12" s="14">
        <f>'1.1'!K14</f>
        <v>0.04</v>
      </c>
      <c r="D12" s="14">
        <f>'1.2'!J14</f>
        <v>0.04</v>
      </c>
      <c r="E12" s="14">
        <f>'1.3'!J14</f>
        <v>0.04</v>
      </c>
      <c r="F12" s="24">
        <f>'1.4'!J14</f>
        <v>0.04</v>
      </c>
      <c r="G12" s="14">
        <f>'1.5'!I14</f>
        <v>0.04</v>
      </c>
      <c r="H12" s="14">
        <f>'2.1'!G14</f>
        <v>0.021</v>
      </c>
      <c r="I12" s="14">
        <f>'2.2'!J14</f>
        <v>0.04</v>
      </c>
      <c r="J12" s="14">
        <f>'2.3'!K14</f>
        <v>0.009</v>
      </c>
      <c r="K12" s="14" t="e">
        <f>#REF!</f>
        <v>#REF!</v>
      </c>
      <c r="L12" s="14">
        <f>'3.1'!I14</f>
        <v>0.031</v>
      </c>
      <c r="M12" s="14" t="e">
        <f>#REF!</f>
        <v>#REF!</v>
      </c>
      <c r="N12" s="14">
        <f>'3.2'!I14</f>
        <v>0.045</v>
      </c>
      <c r="O12" s="14">
        <f>'4.1'!I14</f>
        <v>0.045</v>
      </c>
      <c r="P12" s="14">
        <f>'4.2'!K14</f>
        <v>0.018</v>
      </c>
      <c r="Q12" s="14" t="e">
        <f>#REF!</f>
        <v>#REF!</v>
      </c>
      <c r="R12" s="14">
        <f>'4.4'!I14</f>
        <v>0.017</v>
      </c>
      <c r="S12" s="14">
        <f>'6.5'!I14</f>
        <v>0</v>
      </c>
      <c r="T12" s="14" t="e">
        <f>#REF!</f>
        <v>#REF!</v>
      </c>
      <c r="U12" s="14">
        <f>'5.1'!I14</f>
        <v>0.025</v>
      </c>
      <c r="V12" s="14">
        <f>'5.2'!K14</f>
        <v>0.034</v>
      </c>
      <c r="W12" s="14">
        <f>'6.1'!I14</f>
        <v>0.03</v>
      </c>
      <c r="X12" s="14">
        <f>'6.2'!H14</f>
        <v>0.04</v>
      </c>
      <c r="Y12" s="14">
        <f>'6.3'!G14</f>
        <v>0</v>
      </c>
      <c r="Z12" s="14">
        <f>'6.4'!G14</f>
        <v>0</v>
      </c>
      <c r="AA12" s="14" t="e">
        <f t="shared" si="0"/>
        <v>#REF!</v>
      </c>
      <c r="AB12" s="23">
        <v>9</v>
      </c>
      <c r="AC12" s="4" t="s">
        <v>7</v>
      </c>
    </row>
    <row r="13" spans="2:29" ht="12.75" hidden="1">
      <c r="B13" s="4" t="s">
        <v>8</v>
      </c>
      <c r="C13" s="14">
        <f>'1.1'!K15</f>
        <v>0.04</v>
      </c>
      <c r="D13" s="14">
        <f>'1.2'!J15</f>
        <v>0.04</v>
      </c>
      <c r="E13" s="14">
        <f>'1.3'!J15</f>
        <v>0.04</v>
      </c>
      <c r="F13" s="24">
        <f>'1.4'!J15</f>
        <v>0.04</v>
      </c>
      <c r="G13" s="14">
        <f>'1.5'!I15</f>
        <v>0.04</v>
      </c>
      <c r="H13" s="14">
        <f>'2.1'!G15</f>
        <v>0.014</v>
      </c>
      <c r="I13" s="14">
        <f>'2.2'!J15</f>
        <v>0.04</v>
      </c>
      <c r="J13" s="14">
        <f>'2.3'!K15</f>
        <v>0.023</v>
      </c>
      <c r="K13" s="14" t="e">
        <f>#REF!</f>
        <v>#REF!</v>
      </c>
      <c r="L13" s="14">
        <f>'3.1'!I15</f>
        <v>0.006</v>
      </c>
      <c r="M13" s="14" t="e">
        <f>#REF!</f>
        <v>#REF!</v>
      </c>
      <c r="N13" s="14">
        <f>'3.2'!I15</f>
        <v>0.034</v>
      </c>
      <c r="O13" s="14">
        <f>'4.1'!I15</f>
        <v>0</v>
      </c>
      <c r="P13" s="14">
        <f>'4.2'!K15</f>
        <v>0.028</v>
      </c>
      <c r="Q13" s="14" t="e">
        <f>#REF!</f>
        <v>#REF!</v>
      </c>
      <c r="R13" s="14">
        <f>'4.4'!I15</f>
        <v>0.024</v>
      </c>
      <c r="S13" s="14">
        <f>'6.5'!I15</f>
        <v>0</v>
      </c>
      <c r="T13" s="14" t="e">
        <f>#REF!</f>
        <v>#REF!</v>
      </c>
      <c r="U13" s="14">
        <f>'5.1'!I15</f>
        <v>0.005</v>
      </c>
      <c r="V13" s="14">
        <f>'5.2'!K15</f>
        <v>0.05</v>
      </c>
      <c r="W13" s="14">
        <f>'6.1'!I15</f>
        <v>0.03</v>
      </c>
      <c r="X13" s="14">
        <f>'6.2'!H15</f>
        <v>0.04</v>
      </c>
      <c r="Y13" s="14">
        <f>'6.3'!G15</f>
        <v>0.04</v>
      </c>
      <c r="Z13" s="14">
        <f>'6.4'!G15</f>
        <v>0.04</v>
      </c>
      <c r="AA13" s="14" t="e">
        <f t="shared" si="0"/>
        <v>#REF!</v>
      </c>
      <c r="AB13" s="23">
        <v>7</v>
      </c>
      <c r="AC13" s="4" t="s">
        <v>8</v>
      </c>
    </row>
    <row r="14" spans="2:29" s="25" customFormat="1" ht="12.75" hidden="1">
      <c r="B14" s="27"/>
      <c r="C14" s="28"/>
      <c r="D14" s="28"/>
      <c r="E14" s="28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0"/>
      <c r="AC14" s="27"/>
    </row>
    <row r="15" spans="2:29" s="25" customFormat="1" ht="12.75">
      <c r="B15" s="27"/>
      <c r="C15" s="28"/>
      <c r="D15" s="28"/>
      <c r="E15" s="28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0"/>
      <c r="AC15" s="27"/>
    </row>
    <row r="16" spans="2:29" ht="25.5">
      <c r="B16" s="3" t="s">
        <v>15</v>
      </c>
      <c r="C16" s="7" t="s">
        <v>76</v>
      </c>
      <c r="D16" s="7" t="s">
        <v>77</v>
      </c>
      <c r="E16" s="7" t="s">
        <v>78</v>
      </c>
      <c r="F16" s="7" t="s">
        <v>79</v>
      </c>
      <c r="G16" s="7" t="s">
        <v>80</v>
      </c>
      <c r="H16" s="8" t="s">
        <v>81</v>
      </c>
      <c r="I16" s="8" t="s">
        <v>82</v>
      </c>
      <c r="J16" s="8" t="s">
        <v>83</v>
      </c>
      <c r="K16" s="8" t="s">
        <v>84</v>
      </c>
      <c r="L16" s="8" t="s">
        <v>85</v>
      </c>
      <c r="M16" s="8" t="s">
        <v>86</v>
      </c>
      <c r="N16" s="8" t="s">
        <v>190</v>
      </c>
      <c r="O16" s="8" t="s">
        <v>92</v>
      </c>
      <c r="P16" s="8" t="s">
        <v>169</v>
      </c>
      <c r="Q16" s="8" t="s">
        <v>89</v>
      </c>
      <c r="R16" s="8" t="s">
        <v>90</v>
      </c>
      <c r="S16" s="8" t="s">
        <v>91</v>
      </c>
      <c r="T16" s="8" t="s">
        <v>122</v>
      </c>
      <c r="U16" s="8" t="s">
        <v>123</v>
      </c>
      <c r="V16" s="8" t="s">
        <v>94</v>
      </c>
      <c r="W16" s="8" t="s">
        <v>95</v>
      </c>
      <c r="X16" s="8" t="s">
        <v>124</v>
      </c>
      <c r="Y16" s="8" t="s">
        <v>125</v>
      </c>
      <c r="Z16" s="8" t="s">
        <v>154</v>
      </c>
      <c r="AA16" s="8" t="s">
        <v>100</v>
      </c>
      <c r="AB16" s="8" t="s">
        <v>101</v>
      </c>
      <c r="AC16" s="8" t="s">
        <v>109</v>
      </c>
    </row>
    <row r="17" spans="2:30" ht="12.75">
      <c r="B17" s="4" t="s">
        <v>0</v>
      </c>
      <c r="C17" s="14">
        <f>'1.1'!K7</f>
        <v>0.04</v>
      </c>
      <c r="D17" s="14">
        <f>'1.2'!J7</f>
        <v>0.04</v>
      </c>
      <c r="E17" s="14">
        <f>'1.3'!J7</f>
        <v>0.04</v>
      </c>
      <c r="F17" s="14">
        <f>'1.4'!J7</f>
        <v>0.04</v>
      </c>
      <c r="G17" s="14">
        <f>'1.5'!I7</f>
        <v>0.04</v>
      </c>
      <c r="H17" s="14">
        <f>'2.1'!G7</f>
        <v>0.04</v>
      </c>
      <c r="I17" s="14">
        <f>'2.2'!J7</f>
        <v>0.04</v>
      </c>
      <c r="J17" s="14">
        <f>'2.3'!K7</f>
        <v>0.006</v>
      </c>
      <c r="K17" s="14">
        <f>'2.4'!M7</f>
        <v>0.031</v>
      </c>
      <c r="L17" s="14">
        <f>'3.1'!I7</f>
        <v>0.018</v>
      </c>
      <c r="M17" s="14">
        <f>'3.2'!I7</f>
        <v>0.041</v>
      </c>
      <c r="N17" s="14">
        <f>'2.5'!J7</f>
        <v>0.03</v>
      </c>
      <c r="O17" s="14">
        <f>'4.5'!J7</f>
        <v>0.03</v>
      </c>
      <c r="P17" s="14">
        <f>'4.1'!I7</f>
        <v>0.036</v>
      </c>
      <c r="Q17" s="14">
        <f>'4.2'!K7</f>
        <v>0.029</v>
      </c>
      <c r="R17" s="14">
        <f>'4.3'!K7</f>
        <v>0.004</v>
      </c>
      <c r="S17" s="14">
        <f>'4.4'!I7</f>
        <v>0.041</v>
      </c>
      <c r="T17" s="14">
        <f>'5.1'!I7</f>
        <v>0.046</v>
      </c>
      <c r="U17" s="14">
        <f>'5.2'!K7</f>
        <v>0.045</v>
      </c>
      <c r="V17" s="14">
        <f>'6.1'!I7</f>
        <v>0.03</v>
      </c>
      <c r="W17" s="14">
        <f>'6.2'!H7</f>
        <v>0.04</v>
      </c>
      <c r="X17" s="14">
        <f>'6.3'!G7</f>
        <v>0.04</v>
      </c>
      <c r="Y17" s="14">
        <f>'6.4'!G7</f>
        <v>0</v>
      </c>
      <c r="Z17" s="14">
        <f>'6.5'!G7</f>
        <v>0</v>
      </c>
      <c r="AA17" s="14">
        <f>SUM(C17:Z17)</f>
        <v>0.7470000000000002</v>
      </c>
      <c r="AB17" s="43" t="s">
        <v>111</v>
      </c>
      <c r="AC17" s="4" t="s">
        <v>0</v>
      </c>
      <c r="AD17" t="s">
        <v>187</v>
      </c>
    </row>
    <row r="18" spans="2:30" ht="12.75">
      <c r="B18" s="4" t="s">
        <v>1</v>
      </c>
      <c r="C18" s="14">
        <f>'1.1'!K8</f>
        <v>0.04</v>
      </c>
      <c r="D18" s="14">
        <f>'1.2'!J8</f>
        <v>0.04</v>
      </c>
      <c r="E18" s="14">
        <f>'1.3'!J8</f>
        <v>0.04</v>
      </c>
      <c r="F18" s="14">
        <f>'1.4'!J8</f>
        <v>0.04</v>
      </c>
      <c r="G18" s="14">
        <f>'1.5'!I8</f>
        <v>0.04</v>
      </c>
      <c r="H18" s="14">
        <f>'2.1'!G8</f>
        <v>0.037</v>
      </c>
      <c r="I18" s="14">
        <f>'2.2'!J8</f>
        <v>0.04</v>
      </c>
      <c r="J18" s="14">
        <f>'2.3'!K8</f>
        <v>0.001</v>
      </c>
      <c r="K18" s="14">
        <f>'2.4'!M8</f>
        <v>0.05</v>
      </c>
      <c r="L18" s="14">
        <f>'3.1'!I8</f>
        <v>0.06</v>
      </c>
      <c r="M18" s="14">
        <f>'3.2'!I8</f>
        <v>0.042</v>
      </c>
      <c r="N18" s="14">
        <f>'2.5'!J8</f>
        <v>0.03</v>
      </c>
      <c r="O18" s="14">
        <f>'4.5'!J8</f>
        <v>0.004</v>
      </c>
      <c r="P18" s="14">
        <f>'4.1'!I8</f>
        <v>0.021</v>
      </c>
      <c r="Q18" s="14">
        <f>'4.2'!K8</f>
        <v>0.013</v>
      </c>
      <c r="R18" s="14">
        <f>'4.3'!K8</f>
        <v>0</v>
      </c>
      <c r="S18" s="14">
        <f>'4.4'!I8</f>
        <v>0</v>
      </c>
      <c r="T18" s="14">
        <f>'5.1'!I8</f>
        <v>0.047</v>
      </c>
      <c r="U18" s="14">
        <f>'5.2'!K8</f>
        <v>0.034</v>
      </c>
      <c r="V18" s="14">
        <f>'6.1'!I8</f>
        <v>0.03</v>
      </c>
      <c r="W18" s="14">
        <f>'6.2'!H8</f>
        <v>0.04</v>
      </c>
      <c r="X18" s="14">
        <f>'6.3'!G8</f>
        <v>0.04</v>
      </c>
      <c r="Y18" s="14">
        <f>'6.4'!G8</f>
        <v>0.04</v>
      </c>
      <c r="Z18" s="14">
        <f>'6.5'!G8</f>
        <v>0</v>
      </c>
      <c r="AA18" s="14">
        <f aca="true" t="shared" si="1" ref="AA18:AA25">SUM(C18:Z18)</f>
        <v>0.7290000000000002</v>
      </c>
      <c r="AB18" s="43" t="s">
        <v>172</v>
      </c>
      <c r="AC18" s="4" t="s">
        <v>1</v>
      </c>
      <c r="AD18" t="s">
        <v>187</v>
      </c>
    </row>
    <row r="19" spans="2:30" ht="12.75">
      <c r="B19" s="4" t="s">
        <v>2</v>
      </c>
      <c r="C19" s="14">
        <f>'1.1'!K9</f>
        <v>0.04</v>
      </c>
      <c r="D19" s="14">
        <f>'1.2'!J9</f>
        <v>0.04</v>
      </c>
      <c r="E19" s="14">
        <f>'1.3'!J9</f>
        <v>0.04</v>
      </c>
      <c r="F19" s="14">
        <f>'1.4'!J9</f>
        <v>0.04</v>
      </c>
      <c r="G19" s="14">
        <f>'1.5'!I9</f>
        <v>0.04</v>
      </c>
      <c r="H19" s="14">
        <f>'2.1'!G9</f>
        <v>0.008908162316985156</v>
      </c>
      <c r="I19" s="14">
        <f>'2.2'!J9</f>
        <v>0.04</v>
      </c>
      <c r="J19" s="14">
        <f>'2.3'!K9</f>
        <v>0</v>
      </c>
      <c r="K19" s="14">
        <f>'2.4'!M9</f>
        <v>0.043</v>
      </c>
      <c r="L19" s="14">
        <f>'3.1'!I9</f>
        <v>0.023</v>
      </c>
      <c r="M19" s="14">
        <f>'3.2'!I9</f>
        <v>0</v>
      </c>
      <c r="N19" s="14">
        <f>'2.5'!J9</f>
        <v>0.03</v>
      </c>
      <c r="O19" s="14">
        <f>'4.5'!J9</f>
        <v>0</v>
      </c>
      <c r="P19" s="14">
        <f>'4.1'!I9</f>
        <v>0.041</v>
      </c>
      <c r="Q19" s="14">
        <f>'4.2'!K9</f>
        <v>0.026</v>
      </c>
      <c r="R19" s="14">
        <f>'4.3'!K9</f>
        <v>0</v>
      </c>
      <c r="S19" s="14">
        <f>'4.4'!I9</f>
        <v>0.019</v>
      </c>
      <c r="T19" s="14">
        <f>'5.1'!I9</f>
        <v>0</v>
      </c>
      <c r="U19" s="14">
        <f>'5.2'!K9</f>
        <v>0.005</v>
      </c>
      <c r="V19" s="14">
        <f>'6.1'!I9</f>
        <v>0.03</v>
      </c>
      <c r="W19" s="14">
        <f>'6.2'!H9</f>
        <v>0.04</v>
      </c>
      <c r="X19" s="14">
        <f>'6.3'!G9</f>
        <v>0.04</v>
      </c>
      <c r="Y19" s="14">
        <f>'6.4'!G9</f>
        <v>0.04</v>
      </c>
      <c r="Z19" s="14">
        <f>'6.5'!G9</f>
        <v>0.03</v>
      </c>
      <c r="AA19" s="14">
        <f t="shared" si="1"/>
        <v>0.6159081623169853</v>
      </c>
      <c r="AB19" s="43" t="s">
        <v>176</v>
      </c>
      <c r="AC19" s="4" t="s">
        <v>2</v>
      </c>
      <c r="AD19" t="s">
        <v>189</v>
      </c>
    </row>
    <row r="20" spans="2:30" s="25" customFormat="1" ht="12.75">
      <c r="B20" s="4" t="s">
        <v>3</v>
      </c>
      <c r="C20" s="14">
        <f>'1.1'!K10</f>
        <v>0.04</v>
      </c>
      <c r="D20" s="14">
        <f>'1.2'!J10</f>
        <v>0.04</v>
      </c>
      <c r="E20" s="14">
        <f>'1.3'!J10</f>
        <v>0.04</v>
      </c>
      <c r="F20" s="14">
        <f>'1.4'!J10</f>
        <v>0.04</v>
      </c>
      <c r="G20" s="14">
        <f>'1.5'!I10</f>
        <v>0.04</v>
      </c>
      <c r="H20" s="14">
        <f>'2.1'!G10</f>
        <v>0.04</v>
      </c>
      <c r="I20" s="14">
        <f>'2.2'!J10</f>
        <v>0.04</v>
      </c>
      <c r="J20" s="14">
        <f>'2.3'!K10</f>
        <v>0.011</v>
      </c>
      <c r="K20" s="14">
        <f>'2.4'!M10</f>
        <v>0.043</v>
      </c>
      <c r="L20" s="14">
        <f>'3.1'!I10</f>
        <v>0.034</v>
      </c>
      <c r="M20" s="14">
        <f>'3.2'!I10</f>
        <v>0.046</v>
      </c>
      <c r="N20" s="14">
        <f>'2.5'!J10</f>
        <v>0</v>
      </c>
      <c r="O20" s="14">
        <f>'4.5'!J10</f>
        <v>0</v>
      </c>
      <c r="P20" s="14">
        <f>'4.1'!I10</f>
        <v>0.048</v>
      </c>
      <c r="Q20" s="14">
        <f>'4.2'!K10</f>
        <v>0.05</v>
      </c>
      <c r="R20" s="14">
        <f>'4.3'!K10</f>
        <v>0.02365171862156126</v>
      </c>
      <c r="S20" s="14">
        <f>'4.4'!I10</f>
        <v>0.05</v>
      </c>
      <c r="T20" s="14">
        <f>'5.1'!I10</f>
        <v>0.031</v>
      </c>
      <c r="U20" s="14">
        <f>'5.2'!K10</f>
        <v>0.021</v>
      </c>
      <c r="V20" s="14">
        <f>'6.1'!I10</f>
        <v>0</v>
      </c>
      <c r="W20" s="14">
        <f>'6.2'!H10</f>
        <v>0.04</v>
      </c>
      <c r="X20" s="14">
        <f>'6.3'!G10</f>
        <v>0.04</v>
      </c>
      <c r="Y20" s="14">
        <f>'6.4'!G10</f>
        <v>0.04</v>
      </c>
      <c r="Z20" s="14">
        <f>'6.5'!G10</f>
        <v>0</v>
      </c>
      <c r="AA20" s="14">
        <f>SUM(C20:Z20)</f>
        <v>0.7576517186215614</v>
      </c>
      <c r="AB20" s="43" t="s">
        <v>110</v>
      </c>
      <c r="AC20" s="4" t="s">
        <v>3</v>
      </c>
      <c r="AD20" s="25" t="s">
        <v>187</v>
      </c>
    </row>
    <row r="21" spans="2:30" ht="12.75">
      <c r="B21" s="4" t="s">
        <v>4</v>
      </c>
      <c r="C21" s="14">
        <f>'1.1'!K11</f>
        <v>0.04</v>
      </c>
      <c r="D21" s="14">
        <f>'1.2'!J11</f>
        <v>0.04</v>
      </c>
      <c r="E21" s="14">
        <f>'1.3'!J11</f>
        <v>0.04</v>
      </c>
      <c r="F21" s="14">
        <f>'1.4'!J11</f>
        <v>0.04</v>
      </c>
      <c r="G21" s="14">
        <f>'1.5'!I11</f>
        <v>0.04</v>
      </c>
      <c r="H21" s="14">
        <f>'2.1'!G11</f>
        <v>0</v>
      </c>
      <c r="I21" s="14">
        <f>'2.2'!J11</f>
        <v>0.04</v>
      </c>
      <c r="J21" s="14">
        <f>'2.3'!K11</f>
        <v>0.007</v>
      </c>
      <c r="K21" s="14">
        <f>'2.4'!M11</f>
        <v>0.032</v>
      </c>
      <c r="L21" s="14">
        <f>'3.1'!I11</f>
        <v>0.017</v>
      </c>
      <c r="M21" s="14">
        <f>'3.2'!I11</f>
        <v>0.05</v>
      </c>
      <c r="N21" s="14">
        <f>'2.5'!J11</f>
        <v>0.03</v>
      </c>
      <c r="O21" s="14">
        <f>'4.5'!J11</f>
        <v>0.003</v>
      </c>
      <c r="P21" s="14">
        <f>'4.1'!I11</f>
        <v>0.04</v>
      </c>
      <c r="Q21" s="14">
        <f>'4.2'!K11</f>
        <v>0</v>
      </c>
      <c r="R21" s="14">
        <f>'4.3'!K11</f>
        <v>0</v>
      </c>
      <c r="S21" s="14">
        <f>'4.4'!I11</f>
        <v>0</v>
      </c>
      <c r="T21" s="14">
        <f>'5.1'!I11</f>
        <v>0.011</v>
      </c>
      <c r="U21" s="14">
        <f>'5.2'!K11</f>
        <v>0.05</v>
      </c>
      <c r="V21" s="14">
        <f>'6.1'!I11</f>
        <v>0.03</v>
      </c>
      <c r="W21" s="14">
        <f>'6.2'!H11</f>
        <v>0.04</v>
      </c>
      <c r="X21" s="14">
        <f>'6.3'!G11</f>
        <v>0.04</v>
      </c>
      <c r="Y21" s="14">
        <f>'6.4'!G11</f>
        <v>0.04</v>
      </c>
      <c r="Z21" s="14">
        <f>'6.5'!G11</f>
        <v>0</v>
      </c>
      <c r="AA21" s="14">
        <f t="shared" si="1"/>
        <v>0.6300000000000001</v>
      </c>
      <c r="AB21" s="43" t="s">
        <v>175</v>
      </c>
      <c r="AC21" s="4" t="s">
        <v>4</v>
      </c>
      <c r="AD21" t="s">
        <v>189</v>
      </c>
    </row>
    <row r="22" spans="2:30" ht="12.75">
      <c r="B22" s="4" t="s">
        <v>5</v>
      </c>
      <c r="C22" s="14">
        <f>'1.1'!K12</f>
        <v>0.04</v>
      </c>
      <c r="D22" s="14">
        <f>'1.2'!J12</f>
        <v>0.04</v>
      </c>
      <c r="E22" s="14">
        <f>'1.3'!J12</f>
        <v>0.04</v>
      </c>
      <c r="F22" s="14">
        <f>'1.4'!J12</f>
        <v>0.04</v>
      </c>
      <c r="G22" s="14">
        <f>'1.5'!I12</f>
        <v>0.04</v>
      </c>
      <c r="H22" s="14">
        <f>'2.1'!G12</f>
        <v>0.029</v>
      </c>
      <c r="I22" s="14">
        <f>'2.2'!J12</f>
        <v>0.04</v>
      </c>
      <c r="J22" s="14">
        <f>'2.3'!K12</f>
        <v>0.03</v>
      </c>
      <c r="K22" s="14">
        <f>'2.4'!M12</f>
        <v>0.035</v>
      </c>
      <c r="L22" s="14">
        <f>'3.1'!I12</f>
        <v>0.036</v>
      </c>
      <c r="M22" s="14">
        <f>'3.2'!I12</f>
        <v>0.048</v>
      </c>
      <c r="N22" s="14">
        <f>'2.5'!J12</f>
        <v>0.03</v>
      </c>
      <c r="O22" s="14">
        <f>'4.5'!J12</f>
        <v>0.003</v>
      </c>
      <c r="P22" s="14">
        <f>'4.1'!I12</f>
        <v>0.05</v>
      </c>
      <c r="Q22" s="14">
        <f>'4.2'!K12</f>
        <v>0.036</v>
      </c>
      <c r="R22" s="14">
        <f>'4.3'!K12</f>
        <v>0</v>
      </c>
      <c r="S22" s="14">
        <f>'4.4'!I12</f>
        <v>0.035</v>
      </c>
      <c r="T22" s="14">
        <f>'5.1'!I12</f>
        <v>0.041</v>
      </c>
      <c r="U22" s="14">
        <f>'5.2'!K12</f>
        <v>0.04</v>
      </c>
      <c r="V22" s="14">
        <f>'6.1'!I12</f>
        <v>0.03</v>
      </c>
      <c r="W22" s="14">
        <f>'6.2'!H12</f>
        <v>0.04</v>
      </c>
      <c r="X22" s="14">
        <f>'6.3'!G12</f>
        <v>0</v>
      </c>
      <c r="Y22" s="14">
        <f>'6.4'!G12</f>
        <v>0</v>
      </c>
      <c r="Z22" s="14">
        <f>'6.5'!G12</f>
        <v>0</v>
      </c>
      <c r="AA22" s="14">
        <f t="shared" si="1"/>
        <v>0.7230000000000003</v>
      </c>
      <c r="AB22" s="43" t="s">
        <v>112</v>
      </c>
      <c r="AC22" s="4" t="s">
        <v>5</v>
      </c>
      <c r="AD22" s="25" t="s">
        <v>188</v>
      </c>
    </row>
    <row r="23" spans="2:30" ht="12.75">
      <c r="B23" s="4" t="s">
        <v>6</v>
      </c>
      <c r="C23" s="14">
        <f>'1.1'!K13</f>
        <v>0.04</v>
      </c>
      <c r="D23" s="14">
        <f>'1.2'!J13</f>
        <v>0.04</v>
      </c>
      <c r="E23" s="14">
        <f>'1.3'!J13</f>
        <v>0.04</v>
      </c>
      <c r="F23" s="14">
        <f>'1.4'!J13</f>
        <v>0.04</v>
      </c>
      <c r="G23" s="14">
        <f>'1.5'!I13</f>
        <v>0.04</v>
      </c>
      <c r="H23" s="14">
        <f>'2.1'!G13</f>
        <v>0.034</v>
      </c>
      <c r="I23" s="14">
        <f>'2.2'!J13</f>
        <v>0.04</v>
      </c>
      <c r="J23" s="14">
        <f>'2.3'!K13</f>
        <v>0.023</v>
      </c>
      <c r="K23" s="14">
        <f>'2.4'!M13</f>
        <v>0</v>
      </c>
      <c r="L23" s="14">
        <f>'3.1'!I13</f>
        <v>0</v>
      </c>
      <c r="M23" s="14">
        <f>'3.2'!I13</f>
        <v>0.036</v>
      </c>
      <c r="N23" s="14">
        <f>'2.5'!J13</f>
        <v>0.03</v>
      </c>
      <c r="O23" s="14">
        <f>'4.5'!J13</f>
        <v>0</v>
      </c>
      <c r="P23" s="14">
        <f>'4.1'!I13</f>
        <v>0.018</v>
      </c>
      <c r="Q23" s="14">
        <f>'4.2'!K13</f>
        <v>0.04</v>
      </c>
      <c r="R23" s="14">
        <f>'4.3'!K13</f>
        <v>0</v>
      </c>
      <c r="S23" s="14">
        <f>'4.4'!I13</f>
        <v>0.039</v>
      </c>
      <c r="T23" s="14">
        <f>'5.1'!I13</f>
        <v>0.05</v>
      </c>
      <c r="U23" s="14">
        <f>'5.2'!K13</f>
        <v>0</v>
      </c>
      <c r="V23" s="14">
        <f>'6.1'!I13</f>
        <v>0.03</v>
      </c>
      <c r="W23" s="14">
        <f>'6.2'!H13</f>
        <v>0.04</v>
      </c>
      <c r="X23" s="14">
        <f>'6.3'!G13</f>
        <v>0.04</v>
      </c>
      <c r="Y23" s="14">
        <f>'6.4'!G13</f>
        <v>0.04</v>
      </c>
      <c r="Z23" s="14">
        <f>'6.5'!G13</f>
        <v>0.03</v>
      </c>
      <c r="AA23" s="14">
        <f t="shared" si="1"/>
        <v>0.6900000000000002</v>
      </c>
      <c r="AB23" s="43" t="s">
        <v>173</v>
      </c>
      <c r="AC23" s="4" t="s">
        <v>6</v>
      </c>
      <c r="AD23" s="25" t="s">
        <v>188</v>
      </c>
    </row>
    <row r="24" spans="2:30" ht="12.75">
      <c r="B24" s="4" t="s">
        <v>7</v>
      </c>
      <c r="C24" s="14">
        <f>'1.1'!K14</f>
        <v>0.04</v>
      </c>
      <c r="D24" s="14">
        <f>'1.2'!J14</f>
        <v>0.04</v>
      </c>
      <c r="E24" s="14">
        <f>'1.3'!J14</f>
        <v>0.04</v>
      </c>
      <c r="F24" s="14">
        <f>'1.4'!J14</f>
        <v>0.04</v>
      </c>
      <c r="G24" s="14">
        <f>'1.5'!I14</f>
        <v>0.04</v>
      </c>
      <c r="H24" s="14">
        <f>'2.1'!G14</f>
        <v>0.021</v>
      </c>
      <c r="I24" s="14">
        <f>'2.2'!J14</f>
        <v>0.04</v>
      </c>
      <c r="J24" s="14">
        <f>'2.3'!K14</f>
        <v>0.009</v>
      </c>
      <c r="K24" s="14">
        <f>'2.4'!M14</f>
        <v>0.037</v>
      </c>
      <c r="L24" s="14">
        <f>'3.1'!I14</f>
        <v>0.031</v>
      </c>
      <c r="M24" s="14">
        <f>'3.2'!I14</f>
        <v>0.045</v>
      </c>
      <c r="N24" s="14">
        <f>'2.5'!J14</f>
        <v>0.03</v>
      </c>
      <c r="O24" s="14">
        <f>'4.5'!J14</f>
        <v>0.009</v>
      </c>
      <c r="P24" s="14">
        <f>'4.1'!I14</f>
        <v>0.045</v>
      </c>
      <c r="Q24" s="14">
        <f>'4.2'!K14</f>
        <v>0.018</v>
      </c>
      <c r="R24" s="14">
        <f>'4.3'!K14</f>
        <v>0</v>
      </c>
      <c r="S24" s="14">
        <f>'4.4'!I14</f>
        <v>0.017</v>
      </c>
      <c r="T24" s="14">
        <f>'5.1'!I14</f>
        <v>0.025</v>
      </c>
      <c r="U24" s="14">
        <f>'5.2'!K14</f>
        <v>0.034</v>
      </c>
      <c r="V24" s="14">
        <f>'6.1'!I14</f>
        <v>0.03</v>
      </c>
      <c r="W24" s="14">
        <f>'6.2'!H14</f>
        <v>0.04</v>
      </c>
      <c r="X24" s="14">
        <f>'6.3'!G14</f>
        <v>0</v>
      </c>
      <c r="Y24" s="14">
        <f>'6.4'!G14</f>
        <v>0</v>
      </c>
      <c r="Z24" s="14">
        <f>'6.5'!G14</f>
        <v>0</v>
      </c>
      <c r="AA24" s="14">
        <f t="shared" si="1"/>
        <v>0.631</v>
      </c>
      <c r="AB24" s="43" t="s">
        <v>174</v>
      </c>
      <c r="AC24" s="4" t="s">
        <v>7</v>
      </c>
      <c r="AD24" t="s">
        <v>189</v>
      </c>
    </row>
    <row r="25" spans="2:30" s="25" customFormat="1" ht="12.75">
      <c r="B25" s="4" t="s">
        <v>8</v>
      </c>
      <c r="C25" s="14">
        <f>'1.1'!K15</f>
        <v>0.04</v>
      </c>
      <c r="D25" s="14">
        <f>'1.2'!J15</f>
        <v>0.04</v>
      </c>
      <c r="E25" s="14">
        <f>'1.3'!J15</f>
        <v>0.04</v>
      </c>
      <c r="F25" s="14">
        <f>'1.4'!J15</f>
        <v>0.04</v>
      </c>
      <c r="G25" s="14">
        <f>'1.5'!I15</f>
        <v>0.04</v>
      </c>
      <c r="H25" s="14">
        <f>'2.1'!G15</f>
        <v>0.014</v>
      </c>
      <c r="I25" s="14">
        <f>'2.2'!J15</f>
        <v>0.04</v>
      </c>
      <c r="J25" s="14">
        <f>'2.3'!K15</f>
        <v>0.023</v>
      </c>
      <c r="K25" s="14">
        <f>'2.4'!M15</f>
        <v>0.029</v>
      </c>
      <c r="L25" s="14">
        <f>'3.1'!I15</f>
        <v>0.006</v>
      </c>
      <c r="M25" s="14">
        <f>'3.2'!I15</f>
        <v>0.034</v>
      </c>
      <c r="N25" s="14">
        <f>'2.5'!J15</f>
        <v>0.03</v>
      </c>
      <c r="O25" s="14">
        <f>'4.5'!J15</f>
        <v>0</v>
      </c>
      <c r="P25" s="14">
        <f>'4.1'!I15</f>
        <v>0</v>
      </c>
      <c r="Q25" s="14">
        <f>'4.2'!K15</f>
        <v>0.028</v>
      </c>
      <c r="R25" s="14">
        <f>'4.3'!K15</f>
        <v>0.04</v>
      </c>
      <c r="S25" s="14">
        <f>'4.4'!I15</f>
        <v>0.024</v>
      </c>
      <c r="T25" s="14">
        <f>'5.1'!I15</f>
        <v>0.005</v>
      </c>
      <c r="U25" s="14">
        <f>'5.2'!K15</f>
        <v>0.05</v>
      </c>
      <c r="V25" s="14">
        <f>'6.1'!I15</f>
        <v>0.03</v>
      </c>
      <c r="W25" s="14">
        <f>'6.2'!H15</f>
        <v>0.04</v>
      </c>
      <c r="X25" s="14">
        <f>'6.3'!G15</f>
        <v>0.04</v>
      </c>
      <c r="Y25" s="14">
        <f>'6.4'!G15</f>
        <v>0.04</v>
      </c>
      <c r="Z25" s="14">
        <f>'6.5'!G15</f>
        <v>0.03</v>
      </c>
      <c r="AA25" s="14">
        <f t="shared" si="1"/>
        <v>0.7030000000000003</v>
      </c>
      <c r="AB25" s="43" t="s">
        <v>113</v>
      </c>
      <c r="AC25" s="4" t="s">
        <v>8</v>
      </c>
      <c r="AD25" s="25" t="s">
        <v>188</v>
      </c>
    </row>
    <row r="26" spans="2:23" ht="12.75">
      <c r="B26" s="31"/>
      <c r="C26" s="32"/>
      <c r="D26" s="31"/>
      <c r="T26" s="41"/>
      <c r="U26" s="31"/>
      <c r="V26" s="31"/>
      <c r="W26" s="41"/>
    </row>
    <row r="27" spans="2:27" ht="12.75" hidden="1">
      <c r="B27" s="33"/>
      <c r="C27" s="27"/>
      <c r="D27" s="33"/>
      <c r="AA27" s="19">
        <f>AA17+AA18+AA19+AA20+AA21+AA22+AA23+AA24+AA25</f>
        <v>6.226559880938549</v>
      </c>
    </row>
    <row r="28" spans="2:4" ht="12.75" hidden="1">
      <c r="B28" s="33"/>
      <c r="C28" s="27"/>
      <c r="D28" s="33"/>
    </row>
    <row r="29" spans="2:27" ht="12.75" hidden="1">
      <c r="B29" s="33"/>
      <c r="C29" s="33"/>
      <c r="D29" s="33"/>
      <c r="O29" t="s">
        <v>136</v>
      </c>
      <c r="P29" t="s">
        <v>137</v>
      </c>
      <c r="Q29" t="s">
        <v>138</v>
      </c>
      <c r="R29" t="s">
        <v>139</v>
      </c>
      <c r="S29" t="s">
        <v>143</v>
      </c>
      <c r="T29" t="s">
        <v>144</v>
      </c>
      <c r="U29" t="s">
        <v>145</v>
      </c>
      <c r="V29" t="s">
        <v>140</v>
      </c>
      <c r="W29" t="s">
        <v>141</v>
      </c>
      <c r="X29" t="s">
        <v>142</v>
      </c>
      <c r="AA29" s="19">
        <f>ROUND((AA27/9),3)</f>
        <v>0.692</v>
      </c>
    </row>
    <row r="30" spans="15:25" ht="12.75" hidden="1">
      <c r="O30" s="19">
        <f>AA17</f>
        <v>0.7470000000000002</v>
      </c>
      <c r="P30" s="19">
        <f>AA18</f>
        <v>0.7290000000000002</v>
      </c>
      <c r="Q30" s="19">
        <f>AA19</f>
        <v>0.6159081623169853</v>
      </c>
      <c r="R30" s="19">
        <f>AA20</f>
        <v>0.7576517186215614</v>
      </c>
      <c r="S30" s="19">
        <f>AA21</f>
        <v>0.6300000000000001</v>
      </c>
      <c r="T30" s="19">
        <f>AA22</f>
        <v>0.7230000000000003</v>
      </c>
      <c r="U30" s="19">
        <f>AA23</f>
        <v>0.6900000000000002</v>
      </c>
      <c r="V30" s="19">
        <f>AA24</f>
        <v>0.631</v>
      </c>
      <c r="W30" s="19">
        <f>AA25</f>
        <v>0.7030000000000003</v>
      </c>
      <c r="X30" s="19">
        <f>SUM(O30:W30)</f>
        <v>6.226559880938549</v>
      </c>
      <c r="Y30" s="19">
        <f>X30/9</f>
        <v>0.6918399867709498</v>
      </c>
    </row>
    <row r="31" spans="15:23" ht="12.75" hidden="1">
      <c r="O31" s="19">
        <f>Y30</f>
        <v>0.6918399867709498</v>
      </c>
      <c r="P31" s="19">
        <f>Y30</f>
        <v>0.6918399867709498</v>
      </c>
      <c r="Q31" s="19">
        <f>Y30</f>
        <v>0.6918399867709498</v>
      </c>
      <c r="R31" s="19">
        <f>Y30</f>
        <v>0.6918399867709498</v>
      </c>
      <c r="S31" s="19">
        <f>Y30</f>
        <v>0.6918399867709498</v>
      </c>
      <c r="T31" s="19">
        <f>Y30</f>
        <v>0.6918399867709498</v>
      </c>
      <c r="U31" s="19">
        <f>Y30</f>
        <v>0.6918399867709498</v>
      </c>
      <c r="V31" s="19">
        <f>Y30</f>
        <v>0.6918399867709498</v>
      </c>
      <c r="W31" s="19">
        <f>Y30</f>
        <v>0.6918399867709498</v>
      </c>
    </row>
    <row r="32" spans="15:23" ht="12.75" hidden="1">
      <c r="O32" s="19">
        <f aca="true" t="shared" si="2" ref="O32:W32">O30-O31</f>
        <v>0.0551600132290504</v>
      </c>
      <c r="P32" s="19">
        <f t="shared" si="2"/>
        <v>0.03716001322905038</v>
      </c>
      <c r="Q32" s="19">
        <f t="shared" si="2"/>
        <v>-0.07593182445396451</v>
      </c>
      <c r="R32" s="19">
        <f t="shared" si="2"/>
        <v>0.06581173185061162</v>
      </c>
      <c r="S32" s="19">
        <f t="shared" si="2"/>
        <v>-0.061839986770949706</v>
      </c>
      <c r="T32" s="19">
        <f t="shared" si="2"/>
        <v>0.031160013229050487</v>
      </c>
      <c r="U32" s="19">
        <f t="shared" si="2"/>
        <v>-0.0018399867709496531</v>
      </c>
      <c r="V32" s="19">
        <f t="shared" si="2"/>
        <v>-0.06083998677094982</v>
      </c>
      <c r="W32" s="19">
        <f t="shared" si="2"/>
        <v>0.01116001322905047</v>
      </c>
    </row>
    <row r="33" spans="15:25" ht="12.75" hidden="1">
      <c r="O33" s="62">
        <f>O32*O32</f>
        <v>0.0030426270594290147</v>
      </c>
      <c r="P33" s="62">
        <f aca="true" t="shared" si="3" ref="P33:W33">P32*P32</f>
        <v>0.0013808665831831993</v>
      </c>
      <c r="Q33" s="62">
        <f t="shared" si="3"/>
        <v>0.0057656419649076834</v>
      </c>
      <c r="R33" s="62">
        <f t="shared" si="3"/>
        <v>0.0043311840491768085</v>
      </c>
      <c r="S33" s="62">
        <f t="shared" si="3"/>
        <v>0.0038241839638312345</v>
      </c>
      <c r="T33" s="62">
        <f t="shared" si="3"/>
        <v>0.0009709464244346014</v>
      </c>
      <c r="U33" s="62">
        <f t="shared" si="3"/>
        <v>3.3855513172697314E-06</v>
      </c>
      <c r="V33" s="62">
        <f t="shared" si="3"/>
        <v>0.003701503990289349</v>
      </c>
      <c r="W33" s="62">
        <f t="shared" si="3"/>
        <v>0.0001245458952725815</v>
      </c>
      <c r="X33" s="62">
        <f>SUM(O33:W33)</f>
        <v>0.023144885481841744</v>
      </c>
      <c r="Y33" s="62">
        <f>X33/9</f>
        <v>0.0025716539424268606</v>
      </c>
    </row>
    <row r="34" spans="25:26" ht="12.75" hidden="1">
      <c r="Y34" s="19">
        <f>ROUND((SQRT(Y33)),3)</f>
        <v>0.051</v>
      </c>
      <c r="Z34" s="63" t="s">
        <v>146</v>
      </c>
    </row>
    <row r="35" ht="12.75" hidden="1"/>
    <row r="36" ht="12.75" hidden="1"/>
    <row r="37" spans="18:20" ht="12.75" hidden="1">
      <c r="R37" s="19">
        <f>Y30</f>
        <v>0.6918399867709498</v>
      </c>
      <c r="S37" s="19">
        <f>ROUND((2/3*Y34),3)</f>
        <v>0.034</v>
      </c>
      <c r="T37" s="19">
        <f>R37+S37</f>
        <v>0.7258399867709499</v>
      </c>
    </row>
    <row r="38" spans="18:20" ht="12.75" hidden="1">
      <c r="R38" s="19">
        <f>Y30</f>
        <v>0.6918399867709498</v>
      </c>
      <c r="S38" s="19">
        <f>ROUND((2/3*Y34),3)</f>
        <v>0.034</v>
      </c>
      <c r="T38" s="19">
        <f>R38-S38</f>
        <v>0.6578399867709498</v>
      </c>
    </row>
  </sheetData>
  <sheetProtection/>
  <mergeCells count="1">
    <mergeCell ref="B2:G2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J17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  <col min="6" max="6" width="10.8515625" style="0" customWidth="1"/>
    <col min="7" max="7" width="13.57421875" style="0" customWidth="1"/>
    <col min="9" max="9" width="10.57421875" style="0" customWidth="1"/>
    <col min="10" max="10" width="10.28125" style="0" customWidth="1"/>
  </cols>
  <sheetData>
    <row r="2" spans="2:10" ht="52.5" customHeight="1">
      <c r="B2" s="93" t="s">
        <v>21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5" ht="13.5" thickBot="1">
      <c r="B4" s="2" t="s">
        <v>9</v>
      </c>
      <c r="C4" s="88" t="s">
        <v>22</v>
      </c>
      <c r="D4" s="88"/>
      <c r="E4" s="89"/>
    </row>
    <row r="6" spans="2:10" ht="95.25" customHeight="1">
      <c r="B6" s="3" t="s">
        <v>15</v>
      </c>
      <c r="C6" s="16" t="s">
        <v>163</v>
      </c>
      <c r="D6" s="16" t="s">
        <v>164</v>
      </c>
      <c r="E6" s="16" t="s">
        <v>165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</row>
    <row r="7" spans="2:10" ht="12.75">
      <c r="B7" s="4" t="s">
        <v>0</v>
      </c>
      <c r="C7" s="35">
        <v>10000</v>
      </c>
      <c r="D7" s="37">
        <v>3680</v>
      </c>
      <c r="E7" s="35">
        <v>20107</v>
      </c>
      <c r="F7" s="18">
        <f>C7/(D7+E7)</f>
        <v>0.42039769622062473</v>
      </c>
      <c r="G7" s="1" t="s">
        <v>104</v>
      </c>
      <c r="H7" s="1">
        <v>1</v>
      </c>
      <c r="I7" s="90">
        <v>0.04</v>
      </c>
      <c r="J7" s="1">
        <f>H7*I7</f>
        <v>0.04</v>
      </c>
    </row>
    <row r="8" spans="2:10" ht="12.75">
      <c r="B8" s="4" t="s">
        <v>1</v>
      </c>
      <c r="C8" s="35">
        <v>0</v>
      </c>
      <c r="D8" s="35">
        <v>714.8</v>
      </c>
      <c r="E8" s="35">
        <v>102</v>
      </c>
      <c r="F8" s="18">
        <f>C8/(D8+E8)</f>
        <v>0</v>
      </c>
      <c r="G8" s="1" t="s">
        <v>104</v>
      </c>
      <c r="H8" s="1">
        <v>1</v>
      </c>
      <c r="I8" s="91"/>
      <c r="J8" s="1">
        <f>H8*I7</f>
        <v>0.04</v>
      </c>
    </row>
    <row r="9" spans="2:10" ht="12.75">
      <c r="B9" s="4" t="s">
        <v>2</v>
      </c>
      <c r="C9" s="35">
        <v>0</v>
      </c>
      <c r="D9" s="35">
        <v>3670.7</v>
      </c>
      <c r="E9" s="35">
        <v>0</v>
      </c>
      <c r="F9" s="18">
        <f aca="true" t="shared" si="0" ref="F9:F14">C9/(D9+E9)</f>
        <v>0</v>
      </c>
      <c r="G9" s="1" t="s">
        <v>104</v>
      </c>
      <c r="H9" s="1">
        <v>1</v>
      </c>
      <c r="I9" s="91"/>
      <c r="J9" s="1">
        <f>H9*I7</f>
        <v>0.04</v>
      </c>
    </row>
    <row r="10" spans="2:10" ht="12.75">
      <c r="B10" s="4" t="s">
        <v>3</v>
      </c>
      <c r="C10" s="35">
        <v>6240</v>
      </c>
      <c r="D10" s="35">
        <v>4768.4</v>
      </c>
      <c r="E10" s="35">
        <v>6240</v>
      </c>
      <c r="F10" s="18">
        <f t="shared" si="0"/>
        <v>0.5668398677373642</v>
      </c>
      <c r="G10" s="1" t="s">
        <v>104</v>
      </c>
      <c r="H10" s="1">
        <v>1</v>
      </c>
      <c r="I10" s="91"/>
      <c r="J10" s="1">
        <f>H10*I7</f>
        <v>0.04</v>
      </c>
    </row>
    <row r="11" spans="2:10" ht="12.75">
      <c r="B11" s="4" t="s">
        <v>4</v>
      </c>
      <c r="C11" s="35">
        <v>160</v>
      </c>
      <c r="D11" s="35">
        <v>1073.3</v>
      </c>
      <c r="E11" s="35">
        <v>220</v>
      </c>
      <c r="F11" s="18">
        <f t="shared" si="0"/>
        <v>0.12371452872496715</v>
      </c>
      <c r="G11" s="1" t="s">
        <v>104</v>
      </c>
      <c r="H11" s="1">
        <v>1</v>
      </c>
      <c r="I11" s="91"/>
      <c r="J11" s="1">
        <f>H11*I7</f>
        <v>0.04</v>
      </c>
    </row>
    <row r="12" spans="2:10" ht="12.75">
      <c r="B12" s="4" t="s">
        <v>5</v>
      </c>
      <c r="C12" s="35">
        <v>0</v>
      </c>
      <c r="D12" s="35">
        <v>0</v>
      </c>
      <c r="E12" s="35">
        <v>198</v>
      </c>
      <c r="F12" s="18">
        <f t="shared" si="0"/>
        <v>0</v>
      </c>
      <c r="G12" s="1" t="s">
        <v>104</v>
      </c>
      <c r="H12" s="1">
        <v>1</v>
      </c>
      <c r="I12" s="91"/>
      <c r="J12" s="1">
        <f>H12*I7</f>
        <v>0.04</v>
      </c>
    </row>
    <row r="13" spans="2:10" ht="12.75">
      <c r="B13" s="4" t="s">
        <v>6</v>
      </c>
      <c r="C13" s="35">
        <v>0</v>
      </c>
      <c r="D13" s="35">
        <v>2442.1</v>
      </c>
      <c r="E13" s="35">
        <v>0</v>
      </c>
      <c r="F13" s="18">
        <v>0</v>
      </c>
      <c r="G13" s="1" t="s">
        <v>104</v>
      </c>
      <c r="H13" s="1">
        <v>1</v>
      </c>
      <c r="I13" s="91"/>
      <c r="J13" s="1">
        <f>H13*I7</f>
        <v>0.04</v>
      </c>
    </row>
    <row r="14" spans="2:10" ht="12.75">
      <c r="B14" s="4" t="s">
        <v>7</v>
      </c>
      <c r="C14" s="35">
        <v>760</v>
      </c>
      <c r="D14" s="35">
        <v>385.1</v>
      </c>
      <c r="E14" s="35">
        <v>1045</v>
      </c>
      <c r="F14" s="18">
        <f t="shared" si="0"/>
        <v>0.5314313684357738</v>
      </c>
      <c r="G14" s="1" t="s">
        <v>104</v>
      </c>
      <c r="H14" s="1">
        <v>1</v>
      </c>
      <c r="I14" s="91"/>
      <c r="J14" s="1">
        <f>H14*I7</f>
        <v>0.04</v>
      </c>
    </row>
    <row r="15" spans="2:10" ht="12.75">
      <c r="B15" s="4" t="s">
        <v>8</v>
      </c>
      <c r="C15" s="35">
        <v>0</v>
      </c>
      <c r="D15" s="35">
        <v>0</v>
      </c>
      <c r="E15" s="35">
        <v>0</v>
      </c>
      <c r="F15" s="18">
        <v>0</v>
      </c>
      <c r="G15" s="1" t="s">
        <v>104</v>
      </c>
      <c r="H15" s="1">
        <v>1</v>
      </c>
      <c r="I15" s="92"/>
      <c r="J15" s="1">
        <f>H15*I7</f>
        <v>0.04</v>
      </c>
    </row>
    <row r="16" spans="3:5" ht="12.75">
      <c r="C16" s="36"/>
      <c r="D16" s="36"/>
      <c r="E16" s="36"/>
    </row>
    <row r="17" ht="12.75">
      <c r="B17" s="25"/>
    </row>
  </sheetData>
  <sheetProtection/>
  <mergeCells count="3">
    <mergeCell ref="C4:E4"/>
    <mergeCell ref="I7:I15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J17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7.421875" style="0" customWidth="1"/>
    <col min="6" max="6" width="10.8515625" style="0" customWidth="1"/>
    <col min="7" max="7" width="13.57421875" style="0" customWidth="1"/>
    <col min="9" max="9" width="10.57421875" style="0" customWidth="1"/>
    <col min="10" max="10" width="10.28125" style="0" customWidth="1"/>
  </cols>
  <sheetData>
    <row r="2" spans="2:10" ht="52.5" customHeight="1">
      <c r="B2" s="93" t="s">
        <v>23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5" ht="13.5" thickBot="1">
      <c r="B4" s="2" t="s">
        <v>9</v>
      </c>
      <c r="C4" s="88" t="s">
        <v>24</v>
      </c>
      <c r="D4" s="88"/>
      <c r="E4" s="89"/>
    </row>
    <row r="6" spans="2:10" ht="132.75" customHeight="1">
      <c r="B6" s="3" t="s">
        <v>15</v>
      </c>
      <c r="C6" s="3" t="s">
        <v>25</v>
      </c>
      <c r="D6" s="3" t="s">
        <v>26</v>
      </c>
      <c r="E6" s="3" t="s">
        <v>27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</row>
    <row r="7" spans="2:10" ht="12.75">
      <c r="B7" s="4" t="s">
        <v>0</v>
      </c>
      <c r="C7" s="35">
        <v>870.7</v>
      </c>
      <c r="D7" s="9">
        <v>149027.8</v>
      </c>
      <c r="E7" s="39">
        <v>12.4</v>
      </c>
      <c r="F7" s="35">
        <f>C7/(D7-E7)*100</f>
        <v>0.5843020251598158</v>
      </c>
      <c r="G7" s="1" t="s">
        <v>104</v>
      </c>
      <c r="H7" s="1">
        <v>1</v>
      </c>
      <c r="I7" s="90">
        <v>0.04</v>
      </c>
      <c r="J7" s="1">
        <f>H7*I7</f>
        <v>0.04</v>
      </c>
    </row>
    <row r="8" spans="2:10" ht="12.75">
      <c r="B8" s="4" t="s">
        <v>1</v>
      </c>
      <c r="C8" s="35">
        <v>0.2</v>
      </c>
      <c r="D8" s="9">
        <v>12311.8</v>
      </c>
      <c r="E8" s="39">
        <v>204.9</v>
      </c>
      <c r="F8" s="35">
        <f aca="true" t="shared" si="0" ref="F8:F15">C8/(D8-E8)*100</f>
        <v>0.0016519505406008147</v>
      </c>
      <c r="G8" s="1" t="s">
        <v>104</v>
      </c>
      <c r="H8" s="1">
        <v>1</v>
      </c>
      <c r="I8" s="91"/>
      <c r="J8" s="1">
        <f>H8*I7</f>
        <v>0.04</v>
      </c>
    </row>
    <row r="9" spans="2:10" ht="12.75">
      <c r="B9" s="4" t="s">
        <v>2</v>
      </c>
      <c r="C9" s="35">
        <v>0</v>
      </c>
      <c r="D9" s="9">
        <v>16034</v>
      </c>
      <c r="E9" s="39">
        <v>204.9</v>
      </c>
      <c r="F9" s="35">
        <f t="shared" si="0"/>
        <v>0</v>
      </c>
      <c r="G9" s="1" t="s">
        <v>104</v>
      </c>
      <c r="H9" s="1">
        <v>1</v>
      </c>
      <c r="I9" s="91"/>
      <c r="J9" s="1">
        <f>H9*I7</f>
        <v>0.04</v>
      </c>
    </row>
    <row r="10" spans="2:10" ht="12.75">
      <c r="B10" s="4" t="s">
        <v>3</v>
      </c>
      <c r="C10" s="35">
        <v>2.8</v>
      </c>
      <c r="D10" s="9">
        <v>73119.9</v>
      </c>
      <c r="E10" s="39">
        <v>204.9</v>
      </c>
      <c r="F10" s="35">
        <f t="shared" si="0"/>
        <v>0.0038400877734348212</v>
      </c>
      <c r="G10" s="1" t="s">
        <v>104</v>
      </c>
      <c r="H10" s="1">
        <v>1</v>
      </c>
      <c r="I10" s="91"/>
      <c r="J10" s="1">
        <f>H10*I7</f>
        <v>0.04</v>
      </c>
    </row>
    <row r="11" spans="2:10" ht="12.75">
      <c r="B11" s="4" t="s">
        <v>4</v>
      </c>
      <c r="C11" s="35">
        <v>0</v>
      </c>
      <c r="D11" s="9">
        <v>9281.6</v>
      </c>
      <c r="E11" s="39">
        <v>204.9</v>
      </c>
      <c r="F11" s="35">
        <f t="shared" si="0"/>
        <v>0</v>
      </c>
      <c r="G11" s="1" t="s">
        <v>104</v>
      </c>
      <c r="H11" s="1">
        <v>1</v>
      </c>
      <c r="I11" s="91"/>
      <c r="J11" s="1">
        <f>H11*I7</f>
        <v>0.04</v>
      </c>
    </row>
    <row r="12" spans="2:10" ht="12.75">
      <c r="B12" s="4" t="s">
        <v>5</v>
      </c>
      <c r="C12" s="35">
        <v>0.4</v>
      </c>
      <c r="D12" s="9">
        <v>34350.9</v>
      </c>
      <c r="E12" s="39">
        <v>204.2</v>
      </c>
      <c r="F12" s="35">
        <f t="shared" si="0"/>
        <v>0.0011714162715577199</v>
      </c>
      <c r="G12" s="1" t="s">
        <v>104</v>
      </c>
      <c r="H12" s="1">
        <v>1</v>
      </c>
      <c r="I12" s="91"/>
      <c r="J12" s="1">
        <f>H12*I7</f>
        <v>0.04</v>
      </c>
    </row>
    <row r="13" spans="2:10" ht="12.75">
      <c r="B13" s="4" t="s">
        <v>6</v>
      </c>
      <c r="C13" s="35">
        <v>0</v>
      </c>
      <c r="D13" s="9">
        <v>26395.5</v>
      </c>
      <c r="E13" s="39">
        <v>204.9</v>
      </c>
      <c r="F13" s="35">
        <f t="shared" si="0"/>
        <v>0</v>
      </c>
      <c r="G13" s="1" t="s">
        <v>104</v>
      </c>
      <c r="H13" s="1">
        <v>1</v>
      </c>
      <c r="I13" s="91"/>
      <c r="J13" s="1">
        <f>H13*I7</f>
        <v>0.04</v>
      </c>
    </row>
    <row r="14" spans="2:10" ht="12.75">
      <c r="B14" s="4" t="s">
        <v>7</v>
      </c>
      <c r="C14" s="35">
        <v>0.4</v>
      </c>
      <c r="D14" s="9">
        <v>14022.1</v>
      </c>
      <c r="E14" s="39">
        <v>204.9</v>
      </c>
      <c r="F14" s="35">
        <f t="shared" si="0"/>
        <v>0.0028949425353906725</v>
      </c>
      <c r="G14" s="1" t="s">
        <v>104</v>
      </c>
      <c r="H14" s="1">
        <v>1</v>
      </c>
      <c r="I14" s="91"/>
      <c r="J14" s="1">
        <f>H14*I7</f>
        <v>0.04</v>
      </c>
    </row>
    <row r="15" spans="2:10" ht="12.75">
      <c r="B15" s="4" t="s">
        <v>8</v>
      </c>
      <c r="C15" s="35">
        <v>0</v>
      </c>
      <c r="D15" s="9">
        <v>18131.3</v>
      </c>
      <c r="E15" s="39">
        <v>204.9</v>
      </c>
      <c r="F15" s="35">
        <f t="shared" si="0"/>
        <v>0</v>
      </c>
      <c r="G15" s="1" t="s">
        <v>104</v>
      </c>
      <c r="H15" s="1">
        <v>1</v>
      </c>
      <c r="I15" s="92"/>
      <c r="J15" s="1">
        <f>H15*I7</f>
        <v>0.04</v>
      </c>
    </row>
    <row r="16" spans="3:6" ht="12.75">
      <c r="C16" s="36"/>
      <c r="D16" s="36"/>
      <c r="E16" s="36"/>
      <c r="F16" s="36"/>
    </row>
    <row r="17" ht="12.75">
      <c r="B17" s="25"/>
    </row>
  </sheetData>
  <sheetProtection/>
  <mergeCells count="3">
    <mergeCell ref="C4:E4"/>
    <mergeCell ref="I7:I15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I18"/>
  <sheetViews>
    <sheetView zoomScalePageLayoutView="0" workbookViewId="0" topLeftCell="A1">
      <selection activeCell="A16" sqref="A16:IV16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0.421875" style="0" customWidth="1"/>
    <col min="5" max="5" width="10.8515625" style="0" customWidth="1"/>
    <col min="6" max="6" width="13.57421875" style="0" customWidth="1"/>
    <col min="8" max="8" width="10.57421875" style="0" customWidth="1"/>
    <col min="9" max="9" width="10.28125" style="0" customWidth="1"/>
  </cols>
  <sheetData>
    <row r="2" spans="2:9" ht="52.5" customHeight="1">
      <c r="B2" s="93" t="s">
        <v>121</v>
      </c>
      <c r="C2" s="94"/>
      <c r="D2" s="94"/>
      <c r="E2" s="94"/>
      <c r="F2" s="94"/>
      <c r="G2" s="94"/>
      <c r="H2" s="94"/>
      <c r="I2" s="95"/>
    </row>
    <row r="3" ht="13.5" thickBot="1"/>
    <row r="4" spans="2:4" ht="13.5" thickBot="1">
      <c r="B4" s="2" t="s">
        <v>9</v>
      </c>
      <c r="C4" s="88" t="s">
        <v>28</v>
      </c>
      <c r="D4" s="88"/>
    </row>
    <row r="6" spans="2:9" ht="132.75" customHeight="1">
      <c r="B6" s="3" t="s">
        <v>15</v>
      </c>
      <c r="C6" s="3" t="s">
        <v>29</v>
      </c>
      <c r="D6" s="3" t="s">
        <v>30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</row>
    <row r="7" spans="2:9" ht="12.75">
      <c r="B7" s="4" t="s">
        <v>0</v>
      </c>
      <c r="C7" s="37">
        <v>16906.7</v>
      </c>
      <c r="D7" s="37">
        <v>17321</v>
      </c>
      <c r="E7" s="18">
        <f>C7/D7</f>
        <v>0.9760810576756539</v>
      </c>
      <c r="F7" s="1" t="s">
        <v>104</v>
      </c>
      <c r="G7" s="1">
        <v>1</v>
      </c>
      <c r="H7" s="90">
        <v>0.04</v>
      </c>
      <c r="I7" s="1">
        <f>G7*H7</f>
        <v>0.04</v>
      </c>
    </row>
    <row r="8" spans="2:9" ht="12.75">
      <c r="B8" s="4" t="s">
        <v>1</v>
      </c>
      <c r="C8" s="37">
        <v>3146.7</v>
      </c>
      <c r="D8" s="37">
        <v>4200</v>
      </c>
      <c r="E8" s="18">
        <f aca="true" t="shared" si="0" ref="E8:E15">C8/D8</f>
        <v>0.7492142857142857</v>
      </c>
      <c r="F8" s="1" t="s">
        <v>104</v>
      </c>
      <c r="G8" s="1">
        <v>1</v>
      </c>
      <c r="H8" s="91"/>
      <c r="I8" s="1">
        <f>G8*H7</f>
        <v>0.04</v>
      </c>
    </row>
    <row r="9" spans="2:9" ht="12.75">
      <c r="B9" s="4" t="s">
        <v>2</v>
      </c>
      <c r="C9" s="37">
        <v>3527.2</v>
      </c>
      <c r="D9" s="37">
        <v>3538</v>
      </c>
      <c r="E9" s="18">
        <f t="shared" si="0"/>
        <v>0.9969474279253815</v>
      </c>
      <c r="F9" s="1" t="s">
        <v>104</v>
      </c>
      <c r="G9" s="1">
        <v>1</v>
      </c>
      <c r="H9" s="91"/>
      <c r="I9" s="1">
        <f>G9*H7</f>
        <v>0.04</v>
      </c>
    </row>
    <row r="10" spans="2:9" ht="12.75">
      <c r="B10" s="4" t="s">
        <v>3</v>
      </c>
      <c r="C10" s="37">
        <v>5140.6</v>
      </c>
      <c r="D10" s="37">
        <v>5208</v>
      </c>
      <c r="E10" s="18">
        <f t="shared" si="0"/>
        <v>0.9870583717357911</v>
      </c>
      <c r="F10" s="1" t="s">
        <v>104</v>
      </c>
      <c r="G10" s="1">
        <v>1</v>
      </c>
      <c r="H10" s="91"/>
      <c r="I10" s="1">
        <f>G10*H7</f>
        <v>0.04</v>
      </c>
    </row>
    <row r="11" spans="2:9" ht="12.75">
      <c r="B11" s="4" t="s">
        <v>4</v>
      </c>
      <c r="C11" s="37">
        <v>2898.6</v>
      </c>
      <c r="D11" s="37">
        <v>3316</v>
      </c>
      <c r="E11" s="18">
        <f t="shared" si="0"/>
        <v>0.8741254523522316</v>
      </c>
      <c r="F11" s="1" t="s">
        <v>104</v>
      </c>
      <c r="G11" s="1">
        <v>1</v>
      </c>
      <c r="H11" s="91"/>
      <c r="I11" s="1">
        <f>G11*H7</f>
        <v>0.04</v>
      </c>
    </row>
    <row r="12" spans="2:9" ht="12.75">
      <c r="B12" s="4" t="s">
        <v>5</v>
      </c>
      <c r="C12" s="37">
        <v>4885.2</v>
      </c>
      <c r="D12" s="37">
        <v>5208</v>
      </c>
      <c r="E12" s="18">
        <f t="shared" si="0"/>
        <v>0.9380184331797234</v>
      </c>
      <c r="F12" s="1" t="s">
        <v>104</v>
      </c>
      <c r="G12" s="1">
        <v>1</v>
      </c>
      <c r="H12" s="91"/>
      <c r="I12" s="1">
        <f>G12*H7</f>
        <v>0.04</v>
      </c>
    </row>
    <row r="13" spans="2:9" ht="12.75">
      <c r="B13" s="4" t="s">
        <v>6</v>
      </c>
      <c r="C13" s="37">
        <v>3344</v>
      </c>
      <c r="D13" s="37">
        <v>3538</v>
      </c>
      <c r="E13" s="18">
        <f t="shared" si="0"/>
        <v>0.9451667608818541</v>
      </c>
      <c r="F13" s="1" t="s">
        <v>104</v>
      </c>
      <c r="G13" s="1">
        <v>1</v>
      </c>
      <c r="H13" s="91"/>
      <c r="I13" s="1">
        <f>G13*H7</f>
        <v>0.04</v>
      </c>
    </row>
    <row r="14" spans="2:9" ht="12.75">
      <c r="B14" s="4" t="s">
        <v>7</v>
      </c>
      <c r="C14" s="37">
        <v>3268.2</v>
      </c>
      <c r="D14" s="37">
        <v>3538</v>
      </c>
      <c r="E14" s="18">
        <f t="shared" si="0"/>
        <v>0.9237422272470321</v>
      </c>
      <c r="F14" s="1" t="s">
        <v>104</v>
      </c>
      <c r="G14" s="1">
        <v>1</v>
      </c>
      <c r="H14" s="91"/>
      <c r="I14" s="1">
        <f>G14*H7</f>
        <v>0.04</v>
      </c>
    </row>
    <row r="15" spans="2:9" ht="12.75">
      <c r="B15" s="4" t="s">
        <v>8</v>
      </c>
      <c r="C15" s="35">
        <v>3602.8</v>
      </c>
      <c r="D15" s="35">
        <v>3758</v>
      </c>
      <c r="E15" s="18">
        <f t="shared" si="0"/>
        <v>0.9587014369345397</v>
      </c>
      <c r="F15" s="1" t="s">
        <v>104</v>
      </c>
      <c r="G15" s="1">
        <v>1</v>
      </c>
      <c r="H15" s="92"/>
      <c r="I15" s="1">
        <f>G15*H7</f>
        <v>0.04</v>
      </c>
    </row>
    <row r="16" ht="12.75">
      <c r="C16" s="36"/>
    </row>
    <row r="17" ht="12.75">
      <c r="B17" s="25"/>
    </row>
    <row r="18" ht="12.75">
      <c r="C18" s="42"/>
    </row>
  </sheetData>
  <sheetProtection/>
  <mergeCells count="3">
    <mergeCell ref="C4:D4"/>
    <mergeCell ref="H7:H15"/>
    <mergeCell ref="B2:I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39"/>
  <sheetViews>
    <sheetView zoomScalePageLayoutView="0" workbookViewId="0" topLeftCell="A7">
      <selection activeCell="C44" sqref="C44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3.5742187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69" customHeight="1">
      <c r="B2" s="93" t="s">
        <v>118</v>
      </c>
      <c r="C2" s="94"/>
      <c r="D2" s="94"/>
      <c r="E2" s="94"/>
      <c r="F2" s="94"/>
      <c r="G2" s="95"/>
    </row>
    <row r="3" ht="13.5" thickBot="1"/>
    <row r="4" spans="2:3" ht="13.5" thickBot="1">
      <c r="B4" s="2" t="s">
        <v>9</v>
      </c>
      <c r="C4" s="5" t="s">
        <v>31</v>
      </c>
    </row>
    <row r="6" spans="2:7" ht="132.75" customHeight="1">
      <c r="B6" s="3" t="s">
        <v>15</v>
      </c>
      <c r="C6" s="44" t="s">
        <v>119</v>
      </c>
      <c r="D6" s="3" t="s">
        <v>32</v>
      </c>
      <c r="E6" s="3" t="s">
        <v>33</v>
      </c>
      <c r="F6" s="3" t="s">
        <v>13</v>
      </c>
      <c r="G6" s="3" t="s">
        <v>14</v>
      </c>
    </row>
    <row r="7" spans="2:7" ht="12.75">
      <c r="B7" s="4" t="s">
        <v>0</v>
      </c>
      <c r="C7" s="9">
        <f aca="true" t="shared" si="0" ref="C7:C15">E30</f>
        <v>0</v>
      </c>
      <c r="D7" s="1"/>
      <c r="E7" s="13">
        <f>(C11-C7)/(C11-C10)</f>
        <v>1</v>
      </c>
      <c r="F7" s="90">
        <v>0.04</v>
      </c>
      <c r="G7" s="13">
        <f>ROUND((E7*F7),3)</f>
        <v>0.04</v>
      </c>
    </row>
    <row r="8" spans="2:7" ht="12.75">
      <c r="B8" s="4" t="s">
        <v>1</v>
      </c>
      <c r="C8" s="9">
        <f t="shared" si="0"/>
        <v>3.2245654875811316</v>
      </c>
      <c r="D8" s="1"/>
      <c r="E8" s="13">
        <f>(C11-C8)/(C11-C10)</f>
        <v>0.9271010924012562</v>
      </c>
      <c r="F8" s="91"/>
      <c r="G8" s="13">
        <f>ROUND((E8*F7),3)</f>
        <v>0.037</v>
      </c>
    </row>
    <row r="9" spans="2:7" ht="12.75">
      <c r="B9" s="4" t="s">
        <v>2</v>
      </c>
      <c r="C9" s="9">
        <f t="shared" si="0"/>
        <v>34.382431109246056</v>
      </c>
      <c r="D9" s="1"/>
      <c r="E9" s="13">
        <f>(C11-C9)/(C11-C10)</f>
        <v>0.22270405792462888</v>
      </c>
      <c r="F9" s="91"/>
      <c r="G9" s="13">
        <f>E9*F7</f>
        <v>0.008908162316985156</v>
      </c>
    </row>
    <row r="10" spans="2:7" ht="12.75">
      <c r="B10" s="4" t="s">
        <v>3</v>
      </c>
      <c r="C10" s="9">
        <f t="shared" si="0"/>
        <v>0</v>
      </c>
      <c r="D10" s="1" t="s">
        <v>103</v>
      </c>
      <c r="E10" s="13">
        <f>(C11-C10)/(C11-C10)</f>
        <v>1</v>
      </c>
      <c r="F10" s="91"/>
      <c r="G10" s="13">
        <f>ROUND((E10*F7),3)</f>
        <v>0.04</v>
      </c>
    </row>
    <row r="11" spans="2:7" ht="12.75">
      <c r="B11" s="4" t="s">
        <v>4</v>
      </c>
      <c r="C11" s="9">
        <f t="shared" si="0"/>
        <v>44.23338557183943</v>
      </c>
      <c r="D11" s="1" t="s">
        <v>102</v>
      </c>
      <c r="E11" s="13">
        <f>(C11-C11)/(C11-C10)</f>
        <v>0</v>
      </c>
      <c r="F11" s="91"/>
      <c r="G11" s="13">
        <f>ROUND((E11*F7),3)</f>
        <v>0</v>
      </c>
    </row>
    <row r="12" spans="2:7" ht="12.75">
      <c r="B12" s="4" t="s">
        <v>5</v>
      </c>
      <c r="C12" s="9">
        <f t="shared" si="0"/>
        <v>12.224254698286186</v>
      </c>
      <c r="E12" s="13">
        <f>(C11-C12)/(C11-C10)</f>
        <v>0.7236418931028289</v>
      </c>
      <c r="F12" s="91"/>
      <c r="G12" s="13">
        <f>ROUND((E12*F7),3)</f>
        <v>0.029</v>
      </c>
    </row>
    <row r="13" spans="2:7" ht="12.75">
      <c r="B13" s="4" t="s">
        <v>6</v>
      </c>
      <c r="C13" s="9">
        <f t="shared" si="0"/>
        <v>7.081326039029966</v>
      </c>
      <c r="D13" s="1"/>
      <c r="E13" s="13">
        <f>(C11-C13)/(C11-C10)</f>
        <v>0.8399099244273494</v>
      </c>
      <c r="F13" s="91"/>
      <c r="G13" s="13">
        <f>ROUND((E13*F7),3)</f>
        <v>0.034</v>
      </c>
    </row>
    <row r="14" spans="2:7" ht="12.75">
      <c r="B14" s="4" t="s">
        <v>7</v>
      </c>
      <c r="C14" s="9">
        <f t="shared" si="0"/>
        <v>21.28580421781555</v>
      </c>
      <c r="D14" s="1"/>
      <c r="E14" s="13">
        <f>(C11-C14)/(C11-C10)</f>
        <v>0.5187841956332897</v>
      </c>
      <c r="F14" s="91"/>
      <c r="G14" s="13">
        <f>ROUND((E14*F7),3)</f>
        <v>0.021</v>
      </c>
    </row>
    <row r="15" spans="2:7" ht="12.75">
      <c r="B15" s="4" t="s">
        <v>8</v>
      </c>
      <c r="C15" s="9">
        <f t="shared" si="0"/>
        <v>29.053385519276397</v>
      </c>
      <c r="D15" s="1"/>
      <c r="E15" s="13">
        <f>(C11-C15)/(C11-C10)</f>
        <v>0.343179701402444</v>
      </c>
      <c r="F15" s="92"/>
      <c r="G15" s="13">
        <f>ROUND((E15*F7),3)</f>
        <v>0.014</v>
      </c>
    </row>
    <row r="17" spans="2:8" ht="25.5" hidden="1">
      <c r="B17" s="3" t="s">
        <v>15</v>
      </c>
      <c r="C17" s="16">
        <v>202</v>
      </c>
      <c r="D17" s="17" t="s">
        <v>106</v>
      </c>
      <c r="E17" s="16">
        <v>202</v>
      </c>
      <c r="F17" s="16" t="s">
        <v>105</v>
      </c>
      <c r="G17" s="17">
        <v>20203</v>
      </c>
      <c r="H17" s="17" t="s">
        <v>107</v>
      </c>
    </row>
    <row r="18" spans="2:8" ht="12.75" hidden="1">
      <c r="B18" s="4" t="s">
        <v>0</v>
      </c>
      <c r="C18" s="9">
        <v>189157.8</v>
      </c>
      <c r="D18" s="9" t="e">
        <f>(C18-#REF!)/(#REF!-#REF!)</f>
        <v>#REF!</v>
      </c>
      <c r="E18" s="9">
        <v>92887.6</v>
      </c>
      <c r="F18" s="9">
        <v>165636.7</v>
      </c>
      <c r="G18" s="9">
        <v>11.6</v>
      </c>
      <c r="H18" s="9">
        <f>(E18-G18)/(F18-G18)</f>
        <v>0.5607604161446544</v>
      </c>
    </row>
    <row r="19" spans="2:8" ht="12.75" hidden="1">
      <c r="B19" s="4" t="s">
        <v>1</v>
      </c>
      <c r="C19" s="9">
        <v>2691.4</v>
      </c>
      <c r="D19" s="9" t="e">
        <f>(C19-#REF!)/(#REF!-#REF!)</f>
        <v>#REF!</v>
      </c>
      <c r="E19" s="9">
        <v>1285.1</v>
      </c>
      <c r="F19" s="9">
        <v>6499.3</v>
      </c>
      <c r="G19" s="9">
        <v>124.3</v>
      </c>
      <c r="H19" s="9">
        <f aca="true" t="shared" si="1" ref="H19:H26">(E19-G19)/(F19-G19)</f>
        <v>0.1820862745098039</v>
      </c>
    </row>
    <row r="20" spans="2:8" ht="12.75" hidden="1">
      <c r="B20" s="4" t="s">
        <v>2</v>
      </c>
      <c r="C20" s="9">
        <v>1665.5</v>
      </c>
      <c r="D20" s="9" t="e">
        <f>(C20-#REF!)/(#REF!-#REF!)</f>
        <v>#REF!</v>
      </c>
      <c r="E20" s="9">
        <v>378.8</v>
      </c>
      <c r="F20" s="9">
        <v>3710.3</v>
      </c>
      <c r="G20" s="9">
        <v>124.1</v>
      </c>
      <c r="H20" s="9">
        <f t="shared" si="1"/>
        <v>0.07102225196586917</v>
      </c>
    </row>
    <row r="21" spans="2:8" ht="12.75" hidden="1">
      <c r="B21" s="4" t="s">
        <v>3</v>
      </c>
      <c r="C21" s="9">
        <v>4680.6</v>
      </c>
      <c r="D21" s="9" t="e">
        <f>(C21-#REF!)/(#REF!-#REF!)</f>
        <v>#REF!</v>
      </c>
      <c r="E21" s="9">
        <v>19210.5</v>
      </c>
      <c r="F21" s="9">
        <v>28950</v>
      </c>
      <c r="G21" s="9">
        <v>298.9</v>
      </c>
      <c r="H21" s="9">
        <f t="shared" si="1"/>
        <v>0.6600654076108771</v>
      </c>
    </row>
    <row r="22" spans="2:8" ht="12.75" hidden="1">
      <c r="B22" s="4" t="s">
        <v>4</v>
      </c>
      <c r="C22" s="9">
        <v>2302.8</v>
      </c>
      <c r="D22" s="9" t="e">
        <f>(C22-#REF!)/(#REF!-#REF!)</f>
        <v>#REF!</v>
      </c>
      <c r="E22" s="9">
        <v>609.7</v>
      </c>
      <c r="F22" s="9">
        <v>3556.6</v>
      </c>
      <c r="G22" s="9">
        <v>125.7</v>
      </c>
      <c r="H22" s="9">
        <f t="shared" si="1"/>
        <v>0.14107085604360373</v>
      </c>
    </row>
    <row r="23" spans="2:8" ht="12.75" hidden="1">
      <c r="B23" s="4" t="s">
        <v>5</v>
      </c>
      <c r="C23" s="9">
        <v>2604.6</v>
      </c>
      <c r="D23" s="9" t="e">
        <f>(C23-#REF!)/(#REF!-#REF!)</f>
        <v>#REF!</v>
      </c>
      <c r="E23" s="9">
        <v>1710.1</v>
      </c>
      <c r="F23" s="9">
        <v>9775.9</v>
      </c>
      <c r="G23" s="9">
        <v>317.8</v>
      </c>
      <c r="H23" s="9">
        <f t="shared" si="1"/>
        <v>0.1472071557712437</v>
      </c>
    </row>
    <row r="24" spans="2:8" ht="12.75" hidden="1">
      <c r="B24" s="4" t="s">
        <v>6</v>
      </c>
      <c r="C24" s="9">
        <v>940.6</v>
      </c>
      <c r="D24" s="9" t="e">
        <f>(C24-#REF!)/(#REF!-#REF!)</f>
        <v>#REF!</v>
      </c>
      <c r="E24" s="9">
        <v>4253.9</v>
      </c>
      <c r="F24" s="9">
        <v>9126.9</v>
      </c>
      <c r="G24" s="9">
        <v>140.6</v>
      </c>
      <c r="H24" s="9">
        <f t="shared" si="1"/>
        <v>0.45773010026373473</v>
      </c>
    </row>
    <row r="25" spans="2:8" ht="12.75" hidden="1">
      <c r="B25" s="4" t="s">
        <v>7</v>
      </c>
      <c r="C25" s="9">
        <v>946.1</v>
      </c>
      <c r="D25" s="9" t="e">
        <f>(C25-#REF!)/(#REF!-#REF!)</f>
        <v>#REF!</v>
      </c>
      <c r="E25" s="9">
        <v>232.5</v>
      </c>
      <c r="F25" s="9">
        <v>4234.4</v>
      </c>
      <c r="G25" s="9">
        <v>145.3</v>
      </c>
      <c r="H25" s="9">
        <f t="shared" si="1"/>
        <v>0.021324985938226015</v>
      </c>
    </row>
    <row r="26" spans="2:8" ht="12.75" hidden="1">
      <c r="B26" s="4" t="s">
        <v>8</v>
      </c>
      <c r="C26" s="9">
        <v>4934.3</v>
      </c>
      <c r="D26" s="9" t="e">
        <f>(C26-#REF!)/(#REF!-#REF!)</f>
        <v>#REF!</v>
      </c>
      <c r="E26" s="9">
        <v>1682.8</v>
      </c>
      <c r="F26" s="9">
        <v>5453.6</v>
      </c>
      <c r="G26" s="9">
        <v>129.4</v>
      </c>
      <c r="H26" s="9">
        <f t="shared" si="1"/>
        <v>0.29176214266932116</v>
      </c>
    </row>
    <row r="27" spans="3:8" ht="12.75" hidden="1">
      <c r="C27" s="10">
        <f>SUM(C18:C26)</f>
        <v>209923.69999999998</v>
      </c>
      <c r="D27" s="10"/>
      <c r="E27" s="10">
        <f>SUM(E18:E26)</f>
        <v>122251.00000000001</v>
      </c>
      <c r="F27" s="10">
        <f>SUM(F18:F26)</f>
        <v>236943.69999999998</v>
      </c>
      <c r="G27" s="10">
        <f>SUM(G18:G26)</f>
        <v>1417.7</v>
      </c>
      <c r="H27" s="10"/>
    </row>
    <row r="28" ht="12.75" hidden="1"/>
    <row r="29" spans="2:7" ht="51">
      <c r="B29" s="49"/>
      <c r="C29" s="3" t="s">
        <v>126</v>
      </c>
      <c r="D29" s="3" t="s">
        <v>127</v>
      </c>
      <c r="E29" s="49" t="s">
        <v>10</v>
      </c>
      <c r="F29" s="49"/>
      <c r="G29" s="49"/>
    </row>
    <row r="30" spans="2:7" ht="12.75">
      <c r="B30" s="4" t="s">
        <v>0</v>
      </c>
      <c r="C30" s="35">
        <v>0</v>
      </c>
      <c r="D30" s="35">
        <v>111229.6</v>
      </c>
      <c r="E30" s="9">
        <f>C30/D30*100</f>
        <v>0</v>
      </c>
      <c r="F30" s="1"/>
      <c r="G30" s="1"/>
    </row>
    <row r="31" spans="2:7" ht="12.75">
      <c r="B31" s="4" t="s">
        <v>1</v>
      </c>
      <c r="C31" s="35">
        <v>326.9</v>
      </c>
      <c r="D31" s="35">
        <v>10137.8</v>
      </c>
      <c r="E31" s="9">
        <f aca="true" t="shared" si="2" ref="E31:E38">C31/D31*100</f>
        <v>3.2245654875811316</v>
      </c>
      <c r="F31" s="1"/>
      <c r="G31" s="1"/>
    </row>
    <row r="32" spans="2:7" ht="12.75">
      <c r="B32" s="4" t="s">
        <v>2</v>
      </c>
      <c r="C32" s="35">
        <v>2703.8</v>
      </c>
      <c r="D32" s="35">
        <v>7863.9</v>
      </c>
      <c r="E32" s="9">
        <f t="shared" si="2"/>
        <v>34.382431109246056</v>
      </c>
      <c r="F32" s="1"/>
      <c r="G32" s="1"/>
    </row>
    <row r="33" spans="2:7" ht="12.75">
      <c r="B33" s="4" t="s">
        <v>3</v>
      </c>
      <c r="C33" s="35">
        <v>0</v>
      </c>
      <c r="D33" s="35">
        <v>29379.3</v>
      </c>
      <c r="E33" s="9">
        <f t="shared" si="2"/>
        <v>0</v>
      </c>
      <c r="F33" s="1"/>
      <c r="G33" s="1"/>
    </row>
    <row r="34" spans="2:7" ht="12.75">
      <c r="B34" s="4" t="s">
        <v>4</v>
      </c>
      <c r="C34" s="35">
        <v>2568.5</v>
      </c>
      <c r="D34" s="35">
        <v>5806.7</v>
      </c>
      <c r="E34" s="9">
        <f t="shared" si="2"/>
        <v>44.23338557183943</v>
      </c>
      <c r="F34" s="1"/>
      <c r="G34" s="1"/>
    </row>
    <row r="35" spans="2:7" ht="12.75">
      <c r="B35" s="4" t="s">
        <v>5</v>
      </c>
      <c r="C35" s="35">
        <v>2245.4</v>
      </c>
      <c r="D35" s="35">
        <v>18368.4</v>
      </c>
      <c r="E35" s="9">
        <f t="shared" si="2"/>
        <v>12.224254698286186</v>
      </c>
      <c r="F35" s="1"/>
      <c r="G35" s="1"/>
    </row>
    <row r="36" spans="2:7" ht="12.75">
      <c r="B36" s="4" t="s">
        <v>6</v>
      </c>
      <c r="C36" s="35">
        <v>693.8</v>
      </c>
      <c r="D36" s="35">
        <v>9797.6</v>
      </c>
      <c r="E36" s="9">
        <f t="shared" si="2"/>
        <v>7.081326039029966</v>
      </c>
      <c r="F36" s="1"/>
      <c r="G36" s="1"/>
    </row>
    <row r="37" spans="2:7" ht="12.75">
      <c r="B37" s="4" t="s">
        <v>7</v>
      </c>
      <c r="C37" s="35">
        <v>1893.5</v>
      </c>
      <c r="D37" s="35">
        <v>8895.6</v>
      </c>
      <c r="E37" s="9">
        <f t="shared" si="2"/>
        <v>21.28580421781555</v>
      </c>
      <c r="F37" s="1"/>
      <c r="G37" s="1"/>
    </row>
    <row r="38" spans="2:7" ht="12.75">
      <c r="B38" s="4" t="s">
        <v>8</v>
      </c>
      <c r="C38" s="35">
        <v>3318.1</v>
      </c>
      <c r="D38" s="35">
        <v>11420.7</v>
      </c>
      <c r="E38" s="9">
        <f t="shared" si="2"/>
        <v>29.053385519276397</v>
      </c>
      <c r="F38" s="1"/>
      <c r="G38" s="1"/>
    </row>
    <row r="39" spans="3:4" s="25" customFormat="1" ht="12.75">
      <c r="C39" s="80"/>
      <c r="D39" s="80"/>
    </row>
  </sheetData>
  <sheetProtection/>
  <mergeCells count="2">
    <mergeCell ref="F7:F15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J18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5" width="21.421875" style="0" customWidth="1"/>
    <col min="6" max="6" width="10.8515625" style="0" customWidth="1"/>
    <col min="7" max="7" width="13.57421875" style="0" customWidth="1"/>
    <col min="8" max="8" width="13.8515625" style="0" customWidth="1"/>
    <col min="9" max="9" width="10.57421875" style="0" customWidth="1"/>
    <col min="10" max="10" width="10.28125" style="0" customWidth="1"/>
  </cols>
  <sheetData>
    <row r="2" spans="2:10" ht="34.5" customHeight="1">
      <c r="B2" s="93" t="s">
        <v>34</v>
      </c>
      <c r="C2" s="94"/>
      <c r="D2" s="94"/>
      <c r="E2" s="94"/>
      <c r="F2" s="94"/>
      <c r="G2" s="94"/>
      <c r="H2" s="94"/>
      <c r="I2" s="94"/>
      <c r="J2" s="95"/>
    </row>
    <row r="3" ht="13.5" thickBot="1"/>
    <row r="4" spans="2:5" ht="13.5" thickBot="1">
      <c r="B4" s="2" t="s">
        <v>9</v>
      </c>
      <c r="C4" s="88" t="s">
        <v>35</v>
      </c>
      <c r="D4" s="88"/>
      <c r="E4" s="6"/>
    </row>
    <row r="6" spans="2:10" ht="119.25" customHeight="1">
      <c r="B6" s="3" t="s">
        <v>15</v>
      </c>
      <c r="C6" s="3" t="s">
        <v>36</v>
      </c>
      <c r="D6" s="3" t="s">
        <v>37</v>
      </c>
      <c r="E6" s="3" t="s">
        <v>38</v>
      </c>
      <c r="F6" s="3" t="s">
        <v>10</v>
      </c>
      <c r="G6" s="3" t="s">
        <v>32</v>
      </c>
      <c r="H6" s="3" t="s">
        <v>33</v>
      </c>
      <c r="I6" s="3" t="s">
        <v>13</v>
      </c>
      <c r="J6" s="3" t="s">
        <v>14</v>
      </c>
    </row>
    <row r="7" spans="2:10" ht="12.75">
      <c r="B7" s="4" t="s">
        <v>0</v>
      </c>
      <c r="C7" s="1">
        <v>0</v>
      </c>
      <c r="D7" s="9">
        <v>149027.8</v>
      </c>
      <c r="E7" s="39">
        <v>12.4</v>
      </c>
      <c r="F7" s="1">
        <v>0</v>
      </c>
      <c r="G7" s="1"/>
      <c r="H7" s="1">
        <v>1</v>
      </c>
      <c r="I7" s="90">
        <v>0.04</v>
      </c>
      <c r="J7" s="1">
        <f>H7*I7</f>
        <v>0.04</v>
      </c>
    </row>
    <row r="8" spans="2:10" ht="12.75">
      <c r="B8" s="4" t="s">
        <v>1</v>
      </c>
      <c r="C8" s="1">
        <v>0</v>
      </c>
      <c r="D8" s="9">
        <v>12311.8</v>
      </c>
      <c r="E8" s="39">
        <v>204.9</v>
      </c>
      <c r="F8" s="1">
        <v>0</v>
      </c>
      <c r="G8" s="1"/>
      <c r="H8" s="1">
        <v>1</v>
      </c>
      <c r="I8" s="91"/>
      <c r="J8" s="1">
        <f>H8*I7</f>
        <v>0.04</v>
      </c>
    </row>
    <row r="9" spans="2:10" ht="12.75">
      <c r="B9" s="4" t="s">
        <v>2</v>
      </c>
      <c r="C9" s="1">
        <v>0</v>
      </c>
      <c r="D9" s="9">
        <v>16034</v>
      </c>
      <c r="E9" s="39">
        <v>204.9</v>
      </c>
      <c r="F9" s="1">
        <v>0</v>
      </c>
      <c r="G9" s="1"/>
      <c r="H9" s="1">
        <v>1</v>
      </c>
      <c r="I9" s="91"/>
      <c r="J9" s="1">
        <f>H9*I7</f>
        <v>0.04</v>
      </c>
    </row>
    <row r="10" spans="2:10" ht="12.75">
      <c r="B10" s="4" t="s">
        <v>3</v>
      </c>
      <c r="C10" s="1">
        <v>0</v>
      </c>
      <c r="D10" s="9">
        <v>73119.9</v>
      </c>
      <c r="E10" s="39">
        <v>204.9</v>
      </c>
      <c r="F10" s="1">
        <v>0</v>
      </c>
      <c r="G10" s="1"/>
      <c r="H10" s="1">
        <v>1</v>
      </c>
      <c r="I10" s="91"/>
      <c r="J10" s="1">
        <f>H10*I7</f>
        <v>0.04</v>
      </c>
    </row>
    <row r="11" spans="2:10" ht="12.75">
      <c r="B11" s="4" t="s">
        <v>4</v>
      </c>
      <c r="C11" s="1">
        <v>0</v>
      </c>
      <c r="D11" s="9">
        <v>9281.6</v>
      </c>
      <c r="E11" s="39">
        <v>204.9</v>
      </c>
      <c r="F11" s="1">
        <v>0</v>
      </c>
      <c r="G11" s="1"/>
      <c r="H11" s="1">
        <v>1</v>
      </c>
      <c r="I11" s="91"/>
      <c r="J11" s="1">
        <f>H11*I7</f>
        <v>0.04</v>
      </c>
    </row>
    <row r="12" spans="2:10" ht="12.75">
      <c r="B12" s="4" t="s">
        <v>5</v>
      </c>
      <c r="C12" s="1">
        <v>0</v>
      </c>
      <c r="D12" s="9">
        <v>34350.9</v>
      </c>
      <c r="E12" s="39">
        <v>204.2</v>
      </c>
      <c r="F12" s="1">
        <v>0</v>
      </c>
      <c r="G12" s="1"/>
      <c r="H12" s="1">
        <v>1</v>
      </c>
      <c r="I12" s="91"/>
      <c r="J12" s="1">
        <f>H12*I7</f>
        <v>0.04</v>
      </c>
    </row>
    <row r="13" spans="2:10" ht="12.75">
      <c r="B13" s="4" t="s">
        <v>6</v>
      </c>
      <c r="C13" s="1">
        <v>0</v>
      </c>
      <c r="D13" s="9">
        <v>26395.5</v>
      </c>
      <c r="E13" s="39">
        <v>204.9</v>
      </c>
      <c r="F13" s="1">
        <v>0</v>
      </c>
      <c r="G13" s="1"/>
      <c r="H13" s="1">
        <v>1</v>
      </c>
      <c r="I13" s="91"/>
      <c r="J13" s="1">
        <f>H13*I7</f>
        <v>0.04</v>
      </c>
    </row>
    <row r="14" spans="2:10" ht="12.75">
      <c r="B14" s="4" t="s">
        <v>7</v>
      </c>
      <c r="C14" s="1">
        <v>0</v>
      </c>
      <c r="D14" s="9">
        <v>14022.1</v>
      </c>
      <c r="E14" s="39">
        <v>204.9</v>
      </c>
      <c r="F14" s="1">
        <v>0</v>
      </c>
      <c r="G14" s="1"/>
      <c r="H14" s="1">
        <v>1</v>
      </c>
      <c r="I14" s="91"/>
      <c r="J14" s="1">
        <f>H14*I7</f>
        <v>0.04</v>
      </c>
    </row>
    <row r="15" spans="2:10" ht="12.75">
      <c r="B15" s="4" t="s">
        <v>8</v>
      </c>
      <c r="C15" s="1">
        <v>0</v>
      </c>
      <c r="D15" s="9">
        <v>18131.3</v>
      </c>
      <c r="E15" s="39">
        <v>204.9</v>
      </c>
      <c r="F15" s="1">
        <v>0</v>
      </c>
      <c r="G15" s="1"/>
      <c r="H15" s="1">
        <v>1</v>
      </c>
      <c r="I15" s="92"/>
      <c r="J15" s="1">
        <f>H15*I7</f>
        <v>0.04</v>
      </c>
    </row>
    <row r="16" spans="4:5" ht="12.75">
      <c r="D16" s="36"/>
      <c r="E16" s="36"/>
    </row>
    <row r="18" ht="12.75">
      <c r="B18" s="25"/>
    </row>
  </sheetData>
  <sheetProtection/>
  <mergeCells count="3">
    <mergeCell ref="C4:D4"/>
    <mergeCell ref="I7:I15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K17"/>
  <sheetViews>
    <sheetView zoomScalePageLayoutView="0" workbookViewId="0" topLeftCell="B1">
      <selection activeCell="C21" sqref="C21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21.421875" style="0" customWidth="1"/>
    <col min="5" max="5" width="23.421875" style="0" customWidth="1"/>
    <col min="6" max="6" width="21.421875" style="0" customWidth="1"/>
    <col min="7" max="7" width="10.8515625" style="0" customWidth="1"/>
    <col min="8" max="8" width="13.57421875" style="0" customWidth="1"/>
    <col min="9" max="9" width="13.8515625" style="0" customWidth="1"/>
    <col min="10" max="10" width="10.57421875" style="0" customWidth="1"/>
    <col min="11" max="11" width="10.28125" style="0" customWidth="1"/>
  </cols>
  <sheetData>
    <row r="2" spans="2:11" ht="34.5" customHeight="1">
      <c r="B2" s="93" t="s">
        <v>39</v>
      </c>
      <c r="C2" s="94"/>
      <c r="D2" s="94"/>
      <c r="E2" s="94"/>
      <c r="F2" s="94"/>
      <c r="G2" s="94"/>
      <c r="H2" s="94"/>
      <c r="I2" s="94"/>
      <c r="J2" s="94"/>
      <c r="K2" s="95"/>
    </row>
    <row r="3" ht="13.5" thickBot="1"/>
    <row r="4" spans="2:6" ht="13.5" thickBot="1">
      <c r="B4" s="2" t="s">
        <v>9</v>
      </c>
      <c r="C4" s="88" t="s">
        <v>40</v>
      </c>
      <c r="D4" s="88"/>
      <c r="E4" s="6"/>
      <c r="F4" s="6"/>
    </row>
    <row r="6" spans="2:11" ht="81" customHeight="1">
      <c r="B6" s="3" t="s">
        <v>15</v>
      </c>
      <c r="C6" s="3" t="s">
        <v>41</v>
      </c>
      <c r="D6" s="3" t="s">
        <v>42</v>
      </c>
      <c r="E6" s="3" t="s">
        <v>43</v>
      </c>
      <c r="F6" s="3" t="s">
        <v>44</v>
      </c>
      <c r="G6" s="3" t="s">
        <v>10</v>
      </c>
      <c r="H6" s="3" t="s">
        <v>32</v>
      </c>
      <c r="I6" s="3" t="s">
        <v>33</v>
      </c>
      <c r="J6" s="3" t="s">
        <v>13</v>
      </c>
      <c r="K6" s="3" t="s">
        <v>14</v>
      </c>
    </row>
    <row r="7" spans="2:11" ht="12.75">
      <c r="B7" s="4" t="s">
        <v>0</v>
      </c>
      <c r="C7" s="9">
        <v>29.1</v>
      </c>
      <c r="D7" s="9">
        <v>149027.8</v>
      </c>
      <c r="E7" s="9">
        <v>28.1</v>
      </c>
      <c r="F7" s="9">
        <v>133463.6</v>
      </c>
      <c r="G7" s="18">
        <f>(C7/D7)/(E7/F7)</f>
        <v>0.9274322932100577</v>
      </c>
      <c r="H7" s="1"/>
      <c r="I7" s="13">
        <f>(G9-G7)/(G9-G12)</f>
        <v>0.20015727940103417</v>
      </c>
      <c r="J7" s="90">
        <v>0.03</v>
      </c>
      <c r="K7" s="13">
        <f>ROUND((I7*J7),3)</f>
        <v>0.006</v>
      </c>
    </row>
    <row r="8" spans="2:11" ht="12.75">
      <c r="B8" s="4" t="s">
        <v>1</v>
      </c>
      <c r="C8" s="9">
        <v>39.2</v>
      </c>
      <c r="D8" s="9">
        <v>12311.8</v>
      </c>
      <c r="E8" s="9">
        <v>82.3</v>
      </c>
      <c r="F8" s="9">
        <v>28210.9</v>
      </c>
      <c r="G8" s="18">
        <f aca="true" t="shared" si="0" ref="G8:G15">(C8/D8)/(E8/F8)</f>
        <v>1.0913941493897616</v>
      </c>
      <c r="H8" s="1"/>
      <c r="I8" s="13">
        <f>(G9-G8)/(G9-G12)</f>
        <v>0.03793165825314197</v>
      </c>
      <c r="J8" s="91"/>
      <c r="K8" s="13">
        <f>ROUND((I8*J7),3)</f>
        <v>0.001</v>
      </c>
    </row>
    <row r="9" spans="2:11" ht="12.75">
      <c r="B9" s="4" t="s">
        <v>2</v>
      </c>
      <c r="C9" s="9">
        <v>39.9</v>
      </c>
      <c r="D9" s="9">
        <v>16034</v>
      </c>
      <c r="E9" s="9">
        <v>33.2</v>
      </c>
      <c r="F9" s="9">
        <v>15072.4</v>
      </c>
      <c r="G9" s="18">
        <f t="shared" si="0"/>
        <v>1.1297317747978315</v>
      </c>
      <c r="H9" s="1" t="s">
        <v>102</v>
      </c>
      <c r="I9" s="13">
        <f>(G9-G9)/(G9-G12)</f>
        <v>0</v>
      </c>
      <c r="J9" s="91"/>
      <c r="K9" s="13">
        <f>ROUND((I9*J7),3)</f>
        <v>0</v>
      </c>
    </row>
    <row r="10" spans="2:11" ht="12.75">
      <c r="B10" s="4" t="s">
        <v>3</v>
      </c>
      <c r="C10" s="9">
        <v>30</v>
      </c>
      <c r="D10" s="9">
        <v>73119.9</v>
      </c>
      <c r="E10" s="9">
        <v>47</v>
      </c>
      <c r="F10" s="9">
        <v>87630.9</v>
      </c>
      <c r="G10" s="18">
        <f t="shared" si="0"/>
        <v>0.764971191444143</v>
      </c>
      <c r="H10" s="1"/>
      <c r="I10" s="13">
        <f>(G9-G10)/(G9-G12)</f>
        <v>0.36089803801662756</v>
      </c>
      <c r="J10" s="91"/>
      <c r="K10" s="13">
        <f>ROUND((I10*J7),3)</f>
        <v>0.011</v>
      </c>
    </row>
    <row r="11" spans="2:11" ht="12.75">
      <c r="B11" s="4" t="s">
        <v>4</v>
      </c>
      <c r="C11" s="9">
        <v>43.6</v>
      </c>
      <c r="D11" s="9">
        <v>9281.6</v>
      </c>
      <c r="E11" s="9">
        <v>40.7</v>
      </c>
      <c r="F11" s="9">
        <v>7628.3</v>
      </c>
      <c r="G11" s="18">
        <f t="shared" si="0"/>
        <v>0.8804343866833092</v>
      </c>
      <c r="H11" s="1"/>
      <c r="I11" s="13">
        <f>(G9-G11)/(G9-G12)</f>
        <v>0.2466575127882195</v>
      </c>
      <c r="J11" s="91"/>
      <c r="K11" s="13">
        <f>ROUND((I11*J7),3)</f>
        <v>0.007</v>
      </c>
    </row>
    <row r="12" spans="2:11" ht="12.75">
      <c r="B12" s="4" t="s">
        <v>5</v>
      </c>
      <c r="C12" s="9">
        <v>25.2</v>
      </c>
      <c r="D12" s="9">
        <v>34350.9</v>
      </c>
      <c r="E12" s="9">
        <v>158.9</v>
      </c>
      <c r="F12" s="9">
        <v>25781.9</v>
      </c>
      <c r="G12" s="18">
        <f t="shared" si="0"/>
        <v>0.11902918035235287</v>
      </c>
      <c r="H12" s="1" t="s">
        <v>103</v>
      </c>
      <c r="I12" s="13">
        <f>(G9-G12)/(G9-G12)</f>
        <v>1</v>
      </c>
      <c r="J12" s="91"/>
      <c r="K12" s="13">
        <f>ROUND((I12*J7),3)</f>
        <v>0.03</v>
      </c>
    </row>
    <row r="13" spans="2:11" ht="12.75">
      <c r="B13" s="4" t="s">
        <v>6</v>
      </c>
      <c r="C13" s="9">
        <v>54</v>
      </c>
      <c r="D13" s="9">
        <v>26395.5</v>
      </c>
      <c r="E13" s="9">
        <v>65.4</v>
      </c>
      <c r="F13" s="9">
        <v>10816.7</v>
      </c>
      <c r="G13" s="18">
        <f t="shared" si="0"/>
        <v>0.33836147007960593</v>
      </c>
      <c r="H13" s="1"/>
      <c r="I13" s="13">
        <f>(G9-G13)/(G9-G12)</f>
        <v>0.7829902773252605</v>
      </c>
      <c r="J13" s="91"/>
      <c r="K13" s="13">
        <f>ROUND((I13*J7),3)</f>
        <v>0.023</v>
      </c>
    </row>
    <row r="14" spans="2:11" ht="12.75">
      <c r="B14" s="4" t="s">
        <v>7</v>
      </c>
      <c r="C14" s="9">
        <v>36.8</v>
      </c>
      <c r="D14" s="9">
        <v>14022.1</v>
      </c>
      <c r="E14" s="9">
        <v>37.1</v>
      </c>
      <c r="F14" s="9">
        <v>11462.6</v>
      </c>
      <c r="G14" s="18">
        <f t="shared" si="0"/>
        <v>0.8108564702954179</v>
      </c>
      <c r="I14" s="13">
        <f>(G9-G14)/(G9-G12)</f>
        <v>0.31549865039909625</v>
      </c>
      <c r="J14" s="91"/>
      <c r="K14" s="13">
        <f>ROUND((I14*J7),3)</f>
        <v>0.009</v>
      </c>
    </row>
    <row r="15" spans="2:11" ht="12.75">
      <c r="B15" s="4" t="s">
        <v>8</v>
      </c>
      <c r="C15" s="9">
        <v>48.8</v>
      </c>
      <c r="D15" s="9">
        <v>18131.3</v>
      </c>
      <c r="E15" s="9">
        <v>90</v>
      </c>
      <c r="F15" s="9">
        <v>12246.4</v>
      </c>
      <c r="G15" s="18">
        <f t="shared" si="0"/>
        <v>0.3662324390541341</v>
      </c>
      <c r="H15" s="1"/>
      <c r="I15" s="13">
        <f>(G9-G15)/(G9-G12)</f>
        <v>0.75541444133978</v>
      </c>
      <c r="J15" s="92"/>
      <c r="K15" s="13">
        <f>ROUND((I15*J7),3)</f>
        <v>0.023</v>
      </c>
    </row>
    <row r="16" spans="3:6" ht="12.75">
      <c r="C16" s="10"/>
      <c r="D16" s="10"/>
      <c r="E16" s="10"/>
      <c r="F16" s="10"/>
    </row>
    <row r="17" ht="12.75">
      <c r="B17" s="25"/>
    </row>
  </sheetData>
  <sheetProtection/>
  <mergeCells count="3">
    <mergeCell ref="C4:D4"/>
    <mergeCell ref="J7:J15"/>
    <mergeCell ref="B2:K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M29"/>
  <sheetViews>
    <sheetView zoomScalePageLayoutView="0" workbookViewId="0" topLeftCell="B1">
      <selection activeCell="E17" sqref="E17"/>
    </sheetView>
  </sheetViews>
  <sheetFormatPr defaultColWidth="9.140625" defaultRowHeight="12.75"/>
  <cols>
    <col min="2" max="2" width="20.140625" style="0" bestFit="1" customWidth="1"/>
    <col min="3" max="5" width="25.7109375" style="0" customWidth="1"/>
    <col min="6" max="6" width="28.8515625" style="0" customWidth="1"/>
    <col min="7" max="8" width="26.7109375" style="0" customWidth="1"/>
    <col min="9" max="9" width="10.8515625" style="0" customWidth="1"/>
    <col min="10" max="10" width="13.57421875" style="0" customWidth="1"/>
    <col min="11" max="11" width="13.8515625" style="0" customWidth="1"/>
    <col min="12" max="12" width="10.57421875" style="0" customWidth="1"/>
    <col min="13" max="13" width="10.28125" style="0" customWidth="1"/>
  </cols>
  <sheetData>
    <row r="2" spans="2:13" ht="15.75">
      <c r="B2" s="93" t="s">
        <v>147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ht="13.5" thickBot="1"/>
    <row r="4" spans="2:8" ht="13.5" thickBot="1">
      <c r="B4" s="2" t="s">
        <v>9</v>
      </c>
      <c r="C4" s="88" t="s">
        <v>166</v>
      </c>
      <c r="D4" s="88"/>
      <c r="E4" s="88"/>
      <c r="F4" s="88"/>
      <c r="G4" s="6"/>
      <c r="H4" s="6"/>
    </row>
    <row r="6" spans="2:13" ht="158.25" customHeight="1">
      <c r="B6" s="3" t="s">
        <v>15</v>
      </c>
      <c r="C6" s="3" t="s">
        <v>60</v>
      </c>
      <c r="D6" s="3" t="s">
        <v>155</v>
      </c>
      <c r="E6" s="3" t="s">
        <v>156</v>
      </c>
      <c r="F6" s="3" t="s">
        <v>157</v>
      </c>
      <c r="G6" s="3" t="s">
        <v>158</v>
      </c>
      <c r="H6" s="3" t="s">
        <v>159</v>
      </c>
      <c r="I6" s="3" t="s">
        <v>10</v>
      </c>
      <c r="J6" s="3" t="s">
        <v>32</v>
      </c>
      <c r="K6" s="3" t="s">
        <v>33</v>
      </c>
      <c r="L6" s="3" t="s">
        <v>13</v>
      </c>
      <c r="M6" s="3" t="s">
        <v>14</v>
      </c>
    </row>
    <row r="7" spans="2:13" ht="12.75">
      <c r="B7" s="4" t="s">
        <v>0</v>
      </c>
      <c r="C7" s="39">
        <v>160205.4</v>
      </c>
      <c r="D7" s="39">
        <v>48976.3</v>
      </c>
      <c r="E7" s="39">
        <v>12.4</v>
      </c>
      <c r="F7" s="39">
        <v>131048</v>
      </c>
      <c r="G7" s="39">
        <v>24199.2</v>
      </c>
      <c r="H7" s="39">
        <v>12.4</v>
      </c>
      <c r="I7" s="50">
        <f>((D7-E7)/C7)/((G7-H7)/F7)</f>
        <v>1.655963787815224</v>
      </c>
      <c r="J7" s="1"/>
      <c r="K7" s="18">
        <f>(I13-I7)/(I13-I8)</f>
        <v>0.6257576512458229</v>
      </c>
      <c r="L7" s="90">
        <v>0.05</v>
      </c>
      <c r="M7" s="13">
        <f>ROUND((K7*L7),3)</f>
        <v>0.031</v>
      </c>
    </row>
    <row r="8" spans="2:13" ht="12.75">
      <c r="B8" s="4" t="s">
        <v>1</v>
      </c>
      <c r="C8" s="39">
        <v>13122</v>
      </c>
      <c r="D8" s="39">
        <v>2954.2</v>
      </c>
      <c r="E8" s="39">
        <v>204.9</v>
      </c>
      <c r="F8" s="39">
        <v>26039.4</v>
      </c>
      <c r="G8" s="39">
        <v>17991.1</v>
      </c>
      <c r="H8" s="39">
        <v>189.8</v>
      </c>
      <c r="I8" s="50">
        <f aca="true" t="shared" si="0" ref="I8:I15">((D8-E8)/C8)/((G8-H8)/F8)</f>
        <v>0.306479444888597</v>
      </c>
      <c r="J8" s="1" t="s">
        <v>103</v>
      </c>
      <c r="K8" s="18">
        <f>(I13-I8)/(I13-I8)</f>
        <v>1</v>
      </c>
      <c r="L8" s="91"/>
      <c r="M8" s="13">
        <f>ROUND((K8*L7),3)</f>
        <v>0.05</v>
      </c>
    </row>
    <row r="9" spans="2:13" ht="12.75">
      <c r="B9" s="4" t="s">
        <v>2</v>
      </c>
      <c r="C9" s="39">
        <v>12880.7</v>
      </c>
      <c r="D9" s="39">
        <v>5016.7</v>
      </c>
      <c r="E9" s="39">
        <v>204.9</v>
      </c>
      <c r="F9" s="39">
        <v>14126.8</v>
      </c>
      <c r="G9" s="39">
        <v>6767.3</v>
      </c>
      <c r="H9" s="39">
        <v>189.8</v>
      </c>
      <c r="I9" s="50">
        <f t="shared" si="0"/>
        <v>0.8023263257365563</v>
      </c>
      <c r="J9" s="1"/>
      <c r="K9" s="18">
        <f>(I13-I9)/(I13-I8)</f>
        <v>0.8624905118139171</v>
      </c>
      <c r="L9" s="91"/>
      <c r="M9" s="13">
        <f>ROUND((K9*L7),3)</f>
        <v>0.043</v>
      </c>
    </row>
    <row r="10" spans="2:13" ht="12.75">
      <c r="B10" s="4" t="s">
        <v>3</v>
      </c>
      <c r="C10" s="39">
        <v>72175.3</v>
      </c>
      <c r="D10" s="39">
        <v>42796</v>
      </c>
      <c r="E10" s="39">
        <v>204.9</v>
      </c>
      <c r="F10" s="39">
        <v>89077.1</v>
      </c>
      <c r="G10" s="39">
        <v>62919.5</v>
      </c>
      <c r="H10" s="39">
        <v>189.8</v>
      </c>
      <c r="I10" s="50">
        <f t="shared" si="0"/>
        <v>0.8379596720632859</v>
      </c>
      <c r="J10" s="1"/>
      <c r="K10" s="18">
        <f>(I13-I10)/(I13-I8)</f>
        <v>0.8526085837328802</v>
      </c>
      <c r="L10" s="91"/>
      <c r="M10" s="13">
        <f>ROUND((K10*L7),3)</f>
        <v>0.043</v>
      </c>
    </row>
    <row r="11" spans="2:13" ht="12.75">
      <c r="B11" s="4" t="s">
        <v>4</v>
      </c>
      <c r="C11" s="39">
        <v>10120.4</v>
      </c>
      <c r="D11" s="39">
        <v>4313.7</v>
      </c>
      <c r="E11" s="39">
        <v>204.9</v>
      </c>
      <c r="F11" s="39">
        <v>7786.4</v>
      </c>
      <c r="G11" s="39">
        <v>2196.7</v>
      </c>
      <c r="H11" s="39">
        <v>189.8</v>
      </c>
      <c r="I11" s="50">
        <f t="shared" si="0"/>
        <v>1.5751731542974494</v>
      </c>
      <c r="J11" s="1"/>
      <c r="K11" s="18">
        <f>(I13-I11)/(I13-I8)</f>
        <v>0.6481627103363632</v>
      </c>
      <c r="L11" s="91"/>
      <c r="M11" s="13">
        <f>ROUND((K11*L7),3)</f>
        <v>0.032</v>
      </c>
    </row>
    <row r="12" spans="2:13" ht="12.75">
      <c r="B12" s="4" t="s">
        <v>5</v>
      </c>
      <c r="C12" s="39">
        <v>37345.7</v>
      </c>
      <c r="D12" s="39">
        <v>18986.6</v>
      </c>
      <c r="E12" s="39">
        <v>204.2</v>
      </c>
      <c r="F12" s="39">
        <v>25870.3</v>
      </c>
      <c r="G12" s="39">
        <v>9679.2</v>
      </c>
      <c r="H12" s="39">
        <v>189.8</v>
      </c>
      <c r="I12" s="50">
        <f t="shared" si="0"/>
        <v>1.371112823113649</v>
      </c>
      <c r="J12" s="1"/>
      <c r="K12" s="18">
        <f>(I13-I12)/(I13-I8)</f>
        <v>0.7047532280626834</v>
      </c>
      <c r="L12" s="91"/>
      <c r="M12" s="13">
        <f>ROUND((K12*L7),3)</f>
        <v>0.035</v>
      </c>
    </row>
    <row r="13" spans="2:13" ht="12.75">
      <c r="B13" s="4" t="s">
        <v>6</v>
      </c>
      <c r="C13" s="39">
        <v>26017.2</v>
      </c>
      <c r="D13" s="39">
        <v>16219.6</v>
      </c>
      <c r="E13" s="39">
        <v>204.9</v>
      </c>
      <c r="F13" s="39">
        <v>12469.2</v>
      </c>
      <c r="G13" s="39">
        <v>2151.6</v>
      </c>
      <c r="H13" s="39">
        <v>189.8</v>
      </c>
      <c r="I13" s="50">
        <f t="shared" si="0"/>
        <v>3.9123897525246862</v>
      </c>
      <c r="J13" s="1" t="s">
        <v>102</v>
      </c>
      <c r="K13" s="18">
        <f>(I13-I13)/(I13-I8)</f>
        <v>0</v>
      </c>
      <c r="L13" s="91"/>
      <c r="M13" s="13">
        <f>ROUND((K13*L7),3)</f>
        <v>0</v>
      </c>
    </row>
    <row r="14" spans="2:13" ht="12.75">
      <c r="B14" s="4" t="s">
        <v>7</v>
      </c>
      <c r="C14" s="37">
        <v>14741.2</v>
      </c>
      <c r="D14" s="39">
        <v>5714</v>
      </c>
      <c r="E14" s="39">
        <v>204.9</v>
      </c>
      <c r="F14" s="37">
        <v>11839.2</v>
      </c>
      <c r="G14" s="39">
        <v>3742.6</v>
      </c>
      <c r="H14" s="39">
        <v>189.8</v>
      </c>
      <c r="I14" s="50">
        <f t="shared" si="0"/>
        <v>1.2453729091338763</v>
      </c>
      <c r="J14" s="1"/>
      <c r="K14" s="18">
        <f>(I13-I14)/(I13-I8)</f>
        <v>0.7396237332201462</v>
      </c>
      <c r="L14" s="91"/>
      <c r="M14" s="13">
        <f>ROUND((K14*L7),3)</f>
        <v>0.037</v>
      </c>
    </row>
    <row r="15" spans="2:13" ht="12.75">
      <c r="B15" s="4" t="s">
        <v>8</v>
      </c>
      <c r="C15" s="37">
        <v>20774.3</v>
      </c>
      <c r="D15" s="39">
        <v>9353.5</v>
      </c>
      <c r="E15" s="39">
        <v>204.9</v>
      </c>
      <c r="F15" s="37">
        <v>15689.4</v>
      </c>
      <c r="G15" s="39">
        <v>3953.4</v>
      </c>
      <c r="H15" s="39">
        <v>189.8</v>
      </c>
      <c r="I15" s="50">
        <f t="shared" si="0"/>
        <v>1.835824308776974</v>
      </c>
      <c r="J15" s="1"/>
      <c r="K15" s="18">
        <f>(I13-I15)/(I13-I8)</f>
        <v>0.575878284978485</v>
      </c>
      <c r="L15" s="92"/>
      <c r="M15" s="13">
        <f>ROUND((K15*L7),3)</f>
        <v>0.029</v>
      </c>
    </row>
    <row r="16" spans="3:11" ht="12.75">
      <c r="C16" s="36"/>
      <c r="D16" s="36"/>
      <c r="E16" s="36"/>
      <c r="F16" s="36"/>
      <c r="G16" s="36"/>
      <c r="H16" s="36"/>
      <c r="I16" s="34"/>
      <c r="J16" s="31"/>
      <c r="K16" s="22"/>
    </row>
    <row r="17" spans="7:10" ht="12.75">
      <c r="G17" s="33"/>
      <c r="H17" s="33"/>
      <c r="I17" s="33"/>
      <c r="J17" s="33"/>
    </row>
    <row r="18" ht="12.75" hidden="1"/>
    <row r="19" spans="2:8" ht="89.25" hidden="1">
      <c r="B19" s="3" t="s">
        <v>15</v>
      </c>
      <c r="C19" s="3" t="s">
        <v>128</v>
      </c>
      <c r="D19" s="3" t="s">
        <v>129</v>
      </c>
      <c r="E19" s="3"/>
      <c r="F19" s="3" t="s">
        <v>130</v>
      </c>
      <c r="G19" s="3" t="s">
        <v>100</v>
      </c>
      <c r="H19" s="59"/>
    </row>
    <row r="20" spans="2:8" ht="12.75" hidden="1">
      <c r="B20" s="4" t="s">
        <v>0</v>
      </c>
      <c r="C20" s="1">
        <v>13</v>
      </c>
      <c r="D20" s="39">
        <f>262.3</f>
        <v>262.3</v>
      </c>
      <c r="E20" s="39"/>
      <c r="F20" s="35">
        <v>2357.3</v>
      </c>
      <c r="G20" s="9">
        <f aca="true" t="shared" si="1" ref="G20:G28">C20+D20+F20</f>
        <v>2632.6000000000004</v>
      </c>
      <c r="H20" s="60"/>
    </row>
    <row r="21" spans="2:8" ht="12.75" hidden="1">
      <c r="B21" s="4" t="s">
        <v>1</v>
      </c>
      <c r="C21" s="1">
        <v>199.2</v>
      </c>
      <c r="D21" s="39">
        <v>39.4</v>
      </c>
      <c r="E21" s="39"/>
      <c r="F21" s="35">
        <v>1.3</v>
      </c>
      <c r="G21" s="9">
        <f t="shared" si="1"/>
        <v>239.9</v>
      </c>
      <c r="H21" s="60"/>
    </row>
    <row r="22" spans="2:8" ht="12.75" hidden="1">
      <c r="B22" s="4" t="s">
        <v>2</v>
      </c>
      <c r="C22" s="1">
        <v>199.2</v>
      </c>
      <c r="D22" s="39">
        <v>39.4</v>
      </c>
      <c r="E22" s="39"/>
      <c r="F22" s="35"/>
      <c r="G22" s="9">
        <f t="shared" si="1"/>
        <v>238.6</v>
      </c>
      <c r="H22" s="60"/>
    </row>
    <row r="23" spans="2:8" ht="12.75" hidden="1">
      <c r="B23" s="4" t="s">
        <v>3</v>
      </c>
      <c r="C23" s="1">
        <v>394.5</v>
      </c>
      <c r="D23" s="39">
        <v>39.4</v>
      </c>
      <c r="E23" s="39"/>
      <c r="F23" s="35">
        <v>105.6</v>
      </c>
      <c r="G23" s="9">
        <f t="shared" si="1"/>
        <v>539.5</v>
      </c>
      <c r="H23" s="60"/>
    </row>
    <row r="24" spans="2:8" ht="12.75" hidden="1">
      <c r="B24" s="4" t="s">
        <v>4</v>
      </c>
      <c r="C24" s="1">
        <v>199.2</v>
      </c>
      <c r="D24" s="39">
        <v>39.4</v>
      </c>
      <c r="E24" s="39"/>
      <c r="F24" s="35">
        <v>18.6</v>
      </c>
      <c r="G24" s="9">
        <f t="shared" si="1"/>
        <v>257.2</v>
      </c>
      <c r="H24" s="60"/>
    </row>
    <row r="25" spans="2:8" ht="12.75" hidden="1">
      <c r="B25" s="4" t="s">
        <v>5</v>
      </c>
      <c r="C25" s="1">
        <v>394.5</v>
      </c>
      <c r="D25" s="39">
        <v>39.4</v>
      </c>
      <c r="E25" s="39"/>
      <c r="F25" s="35"/>
      <c r="G25" s="9">
        <f t="shared" si="1"/>
        <v>433.9</v>
      </c>
      <c r="H25" s="60"/>
    </row>
    <row r="26" spans="2:8" ht="12.75" hidden="1">
      <c r="B26" s="4" t="s">
        <v>6</v>
      </c>
      <c r="C26" s="1">
        <v>199.2</v>
      </c>
      <c r="D26" s="39">
        <v>39.4</v>
      </c>
      <c r="E26" s="39"/>
      <c r="F26" s="35"/>
      <c r="G26" s="9">
        <f t="shared" si="1"/>
        <v>238.6</v>
      </c>
      <c r="H26" s="60"/>
    </row>
    <row r="27" spans="2:8" ht="12.75" hidden="1">
      <c r="B27" s="4" t="s">
        <v>7</v>
      </c>
      <c r="C27" s="1">
        <v>199.2</v>
      </c>
      <c r="D27" s="39">
        <v>39.4</v>
      </c>
      <c r="E27" s="39"/>
      <c r="F27" s="35"/>
      <c r="G27" s="9">
        <f t="shared" si="1"/>
        <v>238.6</v>
      </c>
      <c r="H27" s="60"/>
    </row>
    <row r="28" spans="2:8" ht="12.75" hidden="1">
      <c r="B28" s="4" t="s">
        <v>8</v>
      </c>
      <c r="C28" s="1">
        <v>199.2</v>
      </c>
      <c r="D28" s="39">
        <v>39.4</v>
      </c>
      <c r="E28" s="39"/>
      <c r="F28" s="35"/>
      <c r="G28" s="9">
        <f t="shared" si="1"/>
        <v>238.6</v>
      </c>
      <c r="H28" s="60"/>
    </row>
    <row r="29" spans="7:8" ht="12.75" hidden="1">
      <c r="G29" s="10">
        <f>SUM(G20:G28)</f>
        <v>5057.500000000001</v>
      </c>
      <c r="H29" s="10"/>
    </row>
    <row r="30" ht="12.75" hidden="1"/>
    <row r="31" ht="12.75" hidden="1"/>
  </sheetData>
  <sheetProtection/>
  <mergeCells count="3">
    <mergeCell ref="C4:F4"/>
    <mergeCell ref="L7:L15"/>
    <mergeCell ref="B2:M2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Kuchma</cp:lastModifiedBy>
  <cp:lastPrinted>2019-07-31T13:12:17Z</cp:lastPrinted>
  <dcterms:created xsi:type="dcterms:W3CDTF">1996-10-08T23:32:33Z</dcterms:created>
  <dcterms:modified xsi:type="dcterms:W3CDTF">2019-07-31T14:04:06Z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