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6" firstSheet="13" activeTab="25"/>
  </bookViews>
  <sheets>
    <sheet name="1.1" sheetId="1" r:id="rId1"/>
    <sheet name="1.2" sheetId="2" r:id="rId2"/>
    <sheet name="1.3" sheetId="3" r:id="rId3"/>
    <sheet name="1.4" sheetId="4" r:id="rId4"/>
    <sheet name="1.5" sheetId="5" r:id="rId5"/>
    <sheet name="2.1" sheetId="6" r:id="rId6"/>
    <sheet name="2.2" sheetId="7" r:id="rId7"/>
    <sheet name="2.3" sheetId="8" r:id="rId8"/>
    <sheet name="2.4" sheetId="9" r:id="rId9"/>
    <sheet name="2.5" sheetId="10" r:id="rId10"/>
    <sheet name="2.6" sheetId="11" r:id="rId11"/>
    <sheet name="2.7" sheetId="12" r:id="rId12"/>
    <sheet name="3.1" sheetId="13" r:id="rId13"/>
    <sheet name="3.2" sheetId="14" r:id="rId14"/>
    <sheet name="3.3" sheetId="15" r:id="rId15"/>
    <sheet name="4.1" sheetId="16" r:id="rId16"/>
    <sheet name="4.2" sheetId="17" r:id="rId17"/>
    <sheet name="4.3" sheetId="18" r:id="rId18"/>
    <sheet name="4.4" sheetId="19" r:id="rId19"/>
    <sheet name="5.1" sheetId="20" r:id="rId20"/>
    <sheet name="5.2" sheetId="21" r:id="rId21"/>
    <sheet name="5.3" sheetId="22" r:id="rId22"/>
    <sheet name="5.4" sheetId="23" r:id="rId23"/>
    <sheet name="5.5" sheetId="24" r:id="rId24"/>
    <sheet name="5.6" sheetId="25" r:id="rId25"/>
    <sheet name="5.7" sheetId="26" r:id="rId26"/>
  </sheets>
  <definedNames>
    <definedName name="_xlnm.Print_Area" localSheetId="5">'2.1'!$B$2:$H$28</definedName>
    <definedName name="_xlnm.Print_Area" localSheetId="6">'2.2'!$B$2:$I$17</definedName>
  </definedNames>
  <calcPr fullCalcOnLoad="1"/>
</workbook>
</file>

<file path=xl/sharedStrings.xml><?xml version="1.0" encoding="utf-8"?>
<sst xmlns="http://schemas.openxmlformats.org/spreadsheetml/2006/main" count="584" uniqueCount="159">
  <si>
    <t>Приморско-Ахтарское</t>
  </si>
  <si>
    <t>Ахтарское</t>
  </si>
  <si>
    <t>Бородинское</t>
  </si>
  <si>
    <t>Бриньковское</t>
  </si>
  <si>
    <t>Новопокровское</t>
  </si>
  <si>
    <t>Ольгинское</t>
  </si>
  <si>
    <t>Приазовское</t>
  </si>
  <si>
    <t>Свободное</t>
  </si>
  <si>
    <t>Степное</t>
  </si>
  <si>
    <t>Формула расчета</t>
  </si>
  <si>
    <t>Наименование поселения</t>
  </si>
  <si>
    <t>Р=А/(Б+В)</t>
  </si>
  <si>
    <t>Р=А/(Б-В)</t>
  </si>
  <si>
    <t>Р=А/Б</t>
  </si>
  <si>
    <t>Б – утвержденный в установленном порядке норматив формирования расходов на содержание органов местного самоуправления муниципального образования</t>
  </si>
  <si>
    <t>Р=А/Б*100</t>
  </si>
  <si>
    <t>Р=А/(В-Г)*100</t>
  </si>
  <si>
    <t>Динамика недоимки по налоговым доходам, подлежащим зачислению в местный бюджет</t>
  </si>
  <si>
    <t>А2 – объем расходов бюджета муниципального образования во втором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</si>
  <si>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А1 – объем расходов бюджета муниципального образования в первом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</si>
  <si>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А3 – объем расходов бюджета муниципального образования в третьем квартале отчетного финансового года соответственно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</si>
  <si>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А4 – объем расходов бюджета муниципального образования в четвертом квартале отчетного финансового года  (без учета субсидий, субвенций и иных межбюджетных трансфертов, имеющих целевое назначение, поступивших из бюджетов бюджетной системы Российской Федерации)</t>
  </si>
  <si>
    <t>Проведение публичных слушаний по проекту местного бюджета и проекту отчета об исполнении местного бюджета в соответствии с установленным порядком</t>
  </si>
  <si>
    <t>выполняется/не выполняется</t>
  </si>
  <si>
    <t>Реквизиты докумета, регламентирующего порядок проведения публичных слушаний по проекту бюджета и отчету об исполнении бюджета</t>
  </si>
  <si>
    <t>Выполняется/не выполняется</t>
  </si>
  <si>
    <t>Интернет-адрес, на котором размещено решение о местном бюджете</t>
  </si>
  <si>
    <t>доходы</t>
  </si>
  <si>
    <t>А</t>
  </si>
  <si>
    <t>Б</t>
  </si>
  <si>
    <t>Размещение на официальных сайтах органов местного самоуправления муниципального образования актуальной редакции решения о местном бюджете</t>
  </si>
  <si>
    <t>Снижение финансовой зависимости местного бюджета от бюджетов других уровней бюджетной системы Российской Федерации</t>
  </si>
  <si>
    <t>Наличие на официальных сайтах органов местного самоуправления муниципального образования информации о местном бюджете в доступной и понятной для граждан форме ("бюджета для граждан") по проекту местного бюджета (решению о местном бюджете) и отчету об исполнении местного бюджета</t>
  </si>
  <si>
    <t>Интернет-адрес, на котором размещены решение, ежеквартальные отчеты об исполнении бюджета</t>
  </si>
  <si>
    <t>Интернет-адрес, на котором размещена соответствующая информация</t>
  </si>
  <si>
    <t>Коэффициент покрытия расходов местного бюджета собственными средствами без привлечения заемных средств</t>
  </si>
  <si>
    <t>Р=(А+Б)/В</t>
  </si>
  <si>
    <t>выполняется</t>
  </si>
  <si>
    <t>не выполняется</t>
  </si>
  <si>
    <t>Изучение мнения населения о качестве оказания муниципальных услуг в соответствии с установленным порядком в сферах культуры, физической культуры и спорта</t>
  </si>
  <si>
    <t>Реквизиты документа, регламентирующего проведение изучения мнения населения о качестве оказания муниципальных услуг</t>
  </si>
  <si>
    <t xml:space="preserve">Наличие справки о результатах проведенного анализа </t>
  </si>
  <si>
    <t xml:space="preserve">Наличие на официальном сайте в информационно-телекоммуникационной сети «Интернет» по размещению информации о государственных и муниципальных учреждениях (www.bus.gov.ru) установленного перечня сведений о 95% муниципальных учреждений поселений </t>
  </si>
  <si>
    <t>Выполняется/Не выполняется</t>
  </si>
  <si>
    <t xml:space="preserve">Отношение дефицита местного бюджета к утвержденному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в отчетном финансовом году </t>
  </si>
  <si>
    <t>Р=(А-Б-В)/(Г-Д-Е)</t>
  </si>
  <si>
    <t>А-размер дефицита местного бюджета по итогам отчетного финансового года</t>
  </si>
  <si>
    <t>Б-объем поступлений от продажи акций и иных форм участия в капитале, находящихся в собственности муниципального образования в отчетном финансовом году</t>
  </si>
  <si>
    <t>В-объем снижения остатков средств на счетах по учету средств местного бюджета в отчетном финансовом году</t>
  </si>
  <si>
    <t>Г – общий объем доходов местного бюджета в отчетном финансовом году</t>
  </si>
  <si>
    <t>Д – объем безвозмездных поступлений в отчетном финансовом году</t>
  </si>
  <si>
    <t>Е – объем поступлений налоговых доходов по дополнительным нормативам отчислений в отчетном финансовом году</t>
  </si>
  <si>
    <t xml:space="preserve">Объем муниципального долга к общему объему доходов местного бюджета без учета объема безвозмездных поступлений и (или) поступлений налоговых доходов по дополнительным нормативам отчислений </t>
  </si>
  <si>
    <t xml:space="preserve">Р=А/(Б-В-Г), </t>
  </si>
  <si>
    <t>А – объем муниципального долга по состоянию на 1 января текущего финансового года</t>
  </si>
  <si>
    <t>Б – общий объем доходов местного бюджета в отчетном финансовом году</t>
  </si>
  <si>
    <t>В – объем безвозмездных поступлений в отчетном финансовом году</t>
  </si>
  <si>
    <t>Г – объем поступлений налоговых доходов по дополнительным нормативам отчислений в отчетном финансовом году</t>
  </si>
  <si>
    <t>Отношение объема муниципальных заимствований к сумме, направляемой в отчетном финансовом году на финансирование дефицита местного бюджета и (или) погашение долговых обязательств муниципального образования</t>
  </si>
  <si>
    <t>А – объем муниципальных заимствований в отчетном финансовом году</t>
  </si>
  <si>
    <t>Б – сумма, направленная в отчетном финансовом году на финансирование дефицита местного бюджета</t>
  </si>
  <si>
    <t>В – сумма, направленная в отчетном финансовом году на погашение долговых обязательств муниципального образования</t>
  </si>
  <si>
    <t>Доля расходов на обслуживание муниципального долга в общем объеме расходов местного бюджета, за исключением объема расходов, которые осуществляются за счет субвенций, предоставляемых из бюджетов бюджетной системы Российской Федерации</t>
  </si>
  <si>
    <t>А – объем расходов местного бюджета на обслуживание муниципального долга в отчетном финансовом году</t>
  </si>
  <si>
    <t>Б – общий объем расходов местного бюджета в отчетном финансовом году</t>
  </si>
  <si>
    <t>В – объем расходов местного бюджета в отчетном финансовом году, осуществленных за счет субвенций, предоставленных из бюджетов бюджетной системы Российской Федерации</t>
  </si>
  <si>
    <t>Отношение расходов на содержание органов местного самоуправления муниципального образования, утвержденных в местном бюджете, к установленному нормативу формирования расходов на содержание органов местного самоуправления муниципального образования</t>
  </si>
  <si>
    <t>А-объем расходов на содержание органов местного самоуправления муниципального образования, утвержденных в местном бюджете (за исключением расходов местного бюджета на осуществление полномочий Российской Федерации и Краснодарского края, полномочий органов местного самоуправления муниципального района по решению вопросов местного значения, переданных в соответствии с частью 4 статьи 15 Федерального закона от 6 октября 2003 г. № 131-ФЗ "Об общих принципах организации местного самоуправления в Российской Федерации" (далее – Федеральный закон от 6 октября 2003 г. № 131-ФЗ); расходов местного бюджета на проведение капитального ремонта помещений административных зданий, находящихся на балансе органов местного самоуправления муниципального образования; расходов местного бюджета на компенсационные выплаты работникам органов местного самоуправления муниципального образования и других расходов местного бюджета, связанных с преобразованием муниципальных образований, упразднением поселений в соответствии со статьями 13 и 131 Федерального закона от 6 октября 2003 г. № 131-ФЗ)</t>
  </si>
  <si>
    <t>Р = (А – Б – В) / (Г – Д – Е)</t>
  </si>
  <si>
    <t>А – размер дефицита местного бюджета по итогам отчетного финансового года</t>
  </si>
  <si>
    <t>Б – объем поступлений от продажи акций и иных форм участия в капитале, находящихся в собственности муниципального образования в отчетном финансовом году;</t>
  </si>
  <si>
    <t>В – объем снижения остатков средств на счетах по учету средств местного бюджета в отчетном финансовом году</t>
  </si>
  <si>
    <t>Р = А / Б x 100</t>
  </si>
  <si>
    <t xml:space="preserve">Д12020 – Объем дотации на выравнивание бюджетной обеспеченности поселений </t>
  </si>
  <si>
    <t>Д22020 – Объем дотации (иных межбюджетных трансфертов) на поддержку мер по обеспечению сбалансированности местных бюджетов</t>
  </si>
  <si>
    <t xml:space="preserve">Д32020-общий объем доходов местного бюджета </t>
  </si>
  <si>
    <t>С2020-объем поступивших  субвенций</t>
  </si>
  <si>
    <t>Отношение объема просроченной кредиторской задолженности местного бюджета и муниципальных бюджетных и муниципальных автономных учреждений к объему расходов местного бюджета</t>
  </si>
  <si>
    <t>А – объем просроченной кредиторской задолженности местного бюджета и муниципальных бюджетных и муниципальных автономных учреждений, источником финансового обеспечения деятельности которых являются средства местного бюджета (за исключением иных источников финансирования), на 1 января текущего финансового года</t>
  </si>
  <si>
    <t>В – общий объем расходов местного бюджета в отчетном финансовом году</t>
  </si>
  <si>
    <t>Г – объем расходов местного бюджета в отчетном финансовом году, осуществленных за счет субвенций, предоставленных из бюджетов бюджетной системы Российской Федерации</t>
  </si>
  <si>
    <t>Исполнение местного бюджета по доходам без учета безвозмездных поступлений к первоначально утвержденному уровню</t>
  </si>
  <si>
    <t>Р = (А – Б) / (В – Г) x 100</t>
  </si>
  <si>
    <t>А – общий объем поступлений доходов в местный бюджет в отчетном финансовом году</t>
  </si>
  <si>
    <t>Б – объем безвозмездных поступлений в отчетном финансовом году</t>
  </si>
  <si>
    <t>В – первоначально утвержденный решением о местном бюджете объем доходов местного бюджета</t>
  </si>
  <si>
    <t>Г – первоначально утвержденный решением о местном бюджете объем безвозмездных поступлений</t>
  </si>
  <si>
    <t>Р=А</t>
  </si>
  <si>
    <t xml:space="preserve">А – установление порядка формирования перечня налоговых расходов муниципального образования;
установление порядка оценки налоговых расходов муниципального образования
</t>
  </si>
  <si>
    <t xml:space="preserve">Динамика налоговых и неналоговых доходов местного бюджета </t>
  </si>
  <si>
    <t>А – объем налоговых и неналоговых доходов местного бюджета (без учета поступлений налоговых доходов по дополнительным нормативам отчислений,  поступлений доходов от продажи материальных и нематериальных активов) в отчетном финансовом году</t>
  </si>
  <si>
    <t>Б – объем налоговых и неналоговых доходов местного бюджета (без учета поступлений налоговых доходов по дополнительным нормативам отчислений, поступлений доходов от продажи материальных и нематериальных активов) в году, предшествующем отчетному финансовому году</t>
  </si>
  <si>
    <t>Отклонение объема расходов местного бюджета в четвертом квартале от среднего объема расходов местного бюджета за первый – третий кварталы</t>
  </si>
  <si>
    <t>Р = А4 / (1.1 x (А3 + А2 + А1) / 3)</t>
  </si>
  <si>
    <t>Б – объем поступлений от продажи акций и иных форм участия в капитале, находящихся в собственности муниципального образования, и (или) снижения остатков средств на счетах по учету средств местного бюджета в отчетном финансовом году;</t>
  </si>
  <si>
    <t xml:space="preserve">Б1– общий объем расходов местного бюджета, утвержденных в местном бюджете </t>
  </si>
  <si>
    <t>Б2-расходы местного бюджета на осуществление полномочий Российской Федерации и Краснодарского края, полномочий органов местного самоуправления муниципального района, по решению вопросов местного значения, переданных в соответствии с частью 4 статьи 15 Федерального закона от 6 октября 2003 г. № 131-ФЗ; расходов местного бюджета на проведение капитального ремонта помещений административных зданий, находящихся на балансе органов местного самоуправления муниципального образования; расходов местного бюджета на компенсационные выплаты работникам органов местного самоуправления муниципального образования и других расходов местного бюджета, связанных с преобразованием муниципальных образований, упразднением поселений в соответствии со статьями 13 и 131 Федерального закона от 6 октября 2003 г. № 131-ФЗ)</t>
  </si>
  <si>
    <t>Р = А / (Б – В – Г)</t>
  </si>
  <si>
    <t xml:space="preserve">Г – объем поступлений налоговых доходов по дополнительным нормативам отчислений </t>
  </si>
  <si>
    <t>Р = А / (Б – В)</t>
  </si>
  <si>
    <t>Коэффициент увеличения долговой нагрузки местного бюджета</t>
  </si>
  <si>
    <t>Р = (А – Б – В) / (Г + Д)</t>
  </si>
  <si>
    <t>А – прирост объема муниципального долга в отчетном финансовом году</t>
  </si>
  <si>
    <t>Б – прирост объема налоговых и неналоговых доходов местного бюджета в отчетном финансовом году</t>
  </si>
  <si>
    <t>В – прирост объема дотаций на выравнивание бюджетной обеспеченности муниципального образования и (или) дотаций на поддержку мер по обеспечению сбалансированности местных бюджетов в отчетном финансовом году</t>
  </si>
  <si>
    <t>Г – объем налоговых и неналоговых доходов местного бюджета в году, предшествующем отчетному финансовому году</t>
  </si>
  <si>
    <t>Д – объем дотаций на выравнивание бюджетной обеспеченности муниципального образования и (или) дотаций (иных межбюджетных трансфертов) на поддержку мер по обеспечению сбалансированности местных бюджетов в году, предшествующем отчетному финансовому году</t>
  </si>
  <si>
    <t>Просроченная задолженность по долговым обязательствам муниципального образования</t>
  </si>
  <si>
    <t>Р = А</t>
  </si>
  <si>
    <t xml:space="preserve">А – просроченная задолженность по состоянию на 1 января текущего финансового года по:
бюджетным кредитам, привлеченным в местный бюджет из краевого бюджета и (или) бюджета муниципального образования Приморско-Ахтарский район;
обязательствам муниципального образования (по номинальной стоимости), возникшим в результате размещения ценных бумаг, сроки погашения по которым истекли или в ФУ администрации МО Приморско-Ахтарский район не представлена информация об их погашении;
кредитам, привлеченным муниципальным образованием от кредитных организаций; муниципальным гарантиям
</t>
  </si>
  <si>
    <t xml:space="preserve">Предоставление межбюджетных трансфертов на поддержку местных инициатив из бюджета муниципального района бюджетам городских, сельских поселений, входящих в состав муниципального района, с численностью населения до 10 тысяч человек </t>
  </si>
  <si>
    <t>А – объем недоимки по налоговым доходам, подлежащим зачислению в местный бюджет, на конец отчетного финансового года</t>
  </si>
  <si>
    <t>Б – объем недоимки по налоговым доходам, подлежащим зачислению в местный бюджет, на начало отчетного финансового года</t>
  </si>
  <si>
    <t>Проведение оценки налоговых расходов муниципального образования в соответствии с общими требованиями к оценке налоговых расходов субъектов Российской Федерации и муниципальных образований, утвержденными постановлением Правительства Российской Федерации от 22 июня 2019 г. № 796</t>
  </si>
  <si>
    <t>Размещение на официальных сайтах органов местного самоуправления муниципального образования ежемесячной отчетности и годового отчета об исполнении местного бюджета</t>
  </si>
  <si>
    <t xml:space="preserve">Д12021 – Объем дотации на выравнивание бюджетной обеспеченности поселений </t>
  </si>
  <si>
    <t>Д22021 – Объем дотации (иных межбюджетных трансфертов) на поддержку мер по обеспечению сбалансированности местных бюджетов</t>
  </si>
  <si>
    <t xml:space="preserve">Д32021-общий объем доходов местного бюджета </t>
  </si>
  <si>
    <t>С2021-объем поступивших  субвенций</t>
  </si>
  <si>
    <t>Долг</t>
  </si>
  <si>
    <t>дотация</t>
  </si>
  <si>
    <t>Дата проведения публичных слушаний по проекту бюджета на 2022 год</t>
  </si>
  <si>
    <t>Дата проведения публичных слушаний по годовому отчету об исполнении бюджета за 2020 год</t>
  </si>
  <si>
    <t>нет</t>
  </si>
  <si>
    <t>https://prim-ahtarsk.ru/administratsiya-goroda/ekonomika-i-biznes/byudzhet/aktualnaya-versiya/</t>
  </si>
  <si>
    <t>https://prim-ahtarsk.ru/administratsiya-goroda/ekonomika-i-biznes/byudzhet/otchety-ob-ispolnenii-byudzheta-primorsko-akhtarskogo-gorodskogo-poseleniya/2021-god-budget/;https://prim-ahtarsk.ru/administratsiya-goroda/pravotvorchestvo/sovet/?PAGEN_1=7</t>
  </si>
  <si>
    <t>отсутствует</t>
  </si>
  <si>
    <t>№ 157 от 21.12.2016</t>
  </si>
  <si>
    <t>№ 117 от 13.10.2016</t>
  </si>
  <si>
    <t>№ 211 от 08.10.2013</t>
  </si>
  <si>
    <t>№ 37 от 17.03.2006г.</t>
  </si>
  <si>
    <t>№ 41 от 16.03.2006</t>
  </si>
  <si>
    <t>№ 36 от 10.03.2006 г</t>
  </si>
  <si>
    <t>№ 33 от 16.03.2006</t>
  </si>
  <si>
    <t>№ 37 от 28.03.2006г.</t>
  </si>
  <si>
    <t>№ 462 от 21.05.2009</t>
  </si>
  <si>
    <t>http://admin-ahtarskogo-sp.ru/%D0%B0%D0%B4%D0%BC%D0%B8%D0%BD%D0%B8%D1%81%D1%82%D1%80%D0%B0%D1%86%D0%B8%D1%8F/%D1%8D%D0%BA%D0%BE%D0%BD%D0%BE%D0%BC%D0%B8%D0%BA%D0%B0-%D0%B8-%D1%84%D0%B8%D0%BD%D0%B0%D0%BD%D1%81%D1%8B/%D0%B1%D1%8E%D0%B4%D0%B6%D0%B5%D1%82.html</t>
  </si>
  <si>
    <t>http://admin-ahtarskogo-sp.ru/%D0%B0%D0%B4%D0%BC%D0%B8%D0%BD%D0%B8%D1%81%D1%82%D1%80%D0%B0%D1%86%D0%B8%D1%8F/%D1%81%D1%82%D0%B0%D1%82%D0%B8%D1%81%D1%82%D0%B8%D1%87%D0%B5%D1%81%D0%BA%D0%B0%D1%8F-%D0%B8%D0%BD%D1%84%D0%BE%D1%80%D0%BC%D0%B0%D1%86%D0%B8%D1%8F.html</t>
  </si>
  <si>
    <t>по указанной ссылке информация не найдена</t>
  </si>
  <si>
    <t>https://borodinskoe-sp.ru/inova_block_documentset/document/333581/</t>
  </si>
  <si>
    <t>https://borodinskoe-sp.ru/economy/budget/#mo-element-region-svedeniya-o-hode-ispolneniya;https://borodinskoe-sp.ru/inova_block_documentset/document/346043/</t>
  </si>
  <si>
    <t>https://borodinskoe-sp.ru/economy/budget/</t>
  </si>
  <si>
    <t>информация не предоставлена</t>
  </si>
  <si>
    <t>http://adm-novopokrov.ru/%D0%B0%D0%B4%D0%BC%D0%B8%D0%BD%D0%B8%D1%81%D1%82%D1%80%D0%B0%D1%86%D0%B8%D1%8F/%D1%8D%D0%BA%D0%BE%D0%BD%D0%BE%D0%BC%D0%B8%D0%BA%D0%B0-%D0%B8-%D1%84%D0%B8%D0%BD%D0%B0%D0%BD%D1%81%D1%8B/%D0%B1%D1%8E%D0%B4%D0%B6%D0%B5%D1%82.html</t>
  </si>
  <si>
    <t>http://adm-novopokrov.ru/%D0%B0%D0%B4%D0%BC%D0%B8%D0%BD%D0%B8%D1%81%D1%82%D1%80%D0%B0%D1%86%D0%B8%D1%8F/%D1%8D%D0%BA%D0%BE%D0%BD%D0%BE%D0%BC%D0%B8%D0%BA%D0%B0-%D0%B8-%D1%84%D0%B8%D0%BD%D0%B0%D0%BD%D1%81%D1%8B/%D0%B1%D1%8E%D0%B4%D0%B6%D0%B5%D1%82-%D0%B4%D0%BB%D1%8F-%D0%B3%D1%80%D0%B0%D0%B6%D0%B4%D0%B0%D0%BD.html</t>
  </si>
  <si>
    <t>да</t>
  </si>
  <si>
    <t>приказ от 30.01.2021 № 10/3</t>
  </si>
  <si>
    <t>admin-osp.ru/images/resheniya/2020/resh_75_ot_11.12.20.zip</t>
  </si>
  <si>
    <t xml:space="preserve">http://adm-novopokrov.ru/%D0%B0%D0%B4%D0%BC%D0%B8%D0%BD%D0%B8%D1%81%D1%82%D1%80%D0%B0%D1%86%D0%B8%D1%8F/%D1%8D%D0%BA%D0%BE%D0%BD%D0%BE%D0%BC%D0%B8%D0%BA%D0%B0-%D0%B8-%D1%84%D0%B8%D0%BD%D0%B0%D0%BD%D1%81%D1%8B/%D0%BE%D1%82%D1%87%D1%91%D1%82%D1%8B.html;http://adm-novopokrov.ru/%D0%B0%D0%B4%D0%BC%D0%B8%D0%BD%D0%B8%D1%81%D1%82%D1%80%D0%B0%D1%86%D0%B8%D1%8F/%D1%8D%D0%BA%D0%BE%D0%BD%D0%BE%D0%BC%D0%B8%D0%BA%D0%B0-%D0%B8-%D1%84%D0%B8%D0%BD%D0%B0%D0%BD%D1%81%D1%8B/%D0%B1%D1%8E%D0%B4%D0%B6%D0%B5%D1%82.html </t>
  </si>
  <si>
    <t>http://admin-osp.ru/%D0%B0%D0%B4%D0%BC%D0%B8%D0%BD%D0%B8%D1%81%D1%82%D1%80%D0%B0%D1%86%D0%B8%D1%8F/%D1%8D%D0%BA%D0%BE%D0%BD%D0%BE%D0%BC%D0%B8%D0%BA%D0%B0/%D1%81%D1%82%D0%B0%D1%82%D0%B8%D1%81%D1%82%D0%B8%D1%87%D0%B5%D1%81%D0%BA%D0%B0%D1%8F-%D0%B8%D0%BD%D1%84%D0%BE%D1%80%D0%BC%D0%B0%D1%86%D0%B8%D1%8F; указанной ссылке не найден годовой отчет об исполнении бюджета</t>
  </si>
  <si>
    <t>по указанным ссылкам не найдена информация по проекту на 2022 год и отчету об исполнении за 2020 год</t>
  </si>
  <si>
    <t>приказ от 22.03.2013 № 3/1</t>
  </si>
  <si>
    <t>по указанному адресу информация не найдена</t>
  </si>
  <si>
    <t>http://priazovskoe.ru/economy/budget/#mo-element-region-normativnyie-aktyi; по указанной ссылке годовой отчет об исполнении бюджета не найден</t>
  </si>
  <si>
    <t>http://priazovskoe.ru/economy/budget/#mo-element-region-normativnyie-aktyi</t>
  </si>
  <si>
    <t>приказ от 22.03.2013 № 7</t>
  </si>
  <si>
    <t>http://stepnogo-sp.ru/%D0%B0%D0%B4%D0%BC%D0%B8%D0%BD%D0%B8%D1%81%D1%82%D1%80%D0%B0%D1%86%D0%B8%D1%8F/%D1%8D%D0%BA%D0%BE%D0%BD%D0%BE%D0%BC%D0%B8%D0%BA%D0%B0/%D0%B1%D1%8E%D0%B4%D0%B6%D0%B5%D1%82.html</t>
  </si>
  <si>
    <t>http://stepnogo-sp.ru/%D0%B0%D0%B4%D0%BC%D0%B8%D0%BD%D0%B8%D1%81%D1%82%D1%80%D0%B0%D1%86%D0%B8%D1%8F/%D1%8D%D0%BA%D0%BE%D0%BD%D0%BE%D0%BC%D0%B8%D0%BA%D0%B0/%D0%B8%D1%81%D0%BF%D0%BE%D0%BB%D0%BD%D0%B5%D0%BD%D0%B8%D0%B5-%D0%B1%D1%8E%D0%B4%D0%B6%D0%B5%D1%82%D0%B0.html; по указанной ссылке не найден годовой отчет об исполнении бюджета</t>
  </si>
  <si>
    <t>по указанной ссылке не найден проект на 2022 год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</si>
</sst>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  <numFmt numFmtId="195" formatCode="#,##0.0"/>
    <numFmt numFmtId="196" formatCode="0.000000"/>
    <numFmt numFmtId="197" formatCode="[$-FC19]d\ mmmm\ yyyy\ &quot;г.&quot;"/>
    <numFmt numFmtId="198" formatCode="0.00000"/>
    <numFmt numFmtId="199" formatCode="mmm/yyyy"/>
    <numFmt numFmtId="200" formatCode="#,##0.000"/>
  </numFmts>
  <fonts count="39">
    <font>
      <sz val="10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192" fontId="0" fillId="0" borderId="10" xfId="0" applyNumberFormat="1" applyBorder="1" applyAlignment="1">
      <alignment/>
    </xf>
    <xf numFmtId="193" fontId="0" fillId="0" borderId="10" xfId="0" applyNumberFormat="1" applyBorder="1" applyAlignment="1">
      <alignment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92" fontId="0" fillId="0" borderId="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Border="1" applyAlignment="1">
      <alignment/>
    </xf>
    <xf numFmtId="195" fontId="0" fillId="0" borderId="10" xfId="0" applyNumberFormat="1" applyBorder="1" applyAlignment="1">
      <alignment/>
    </xf>
    <xf numFmtId="195" fontId="0" fillId="0" borderId="0" xfId="0" applyNumberFormat="1" applyAlignment="1">
      <alignment/>
    </xf>
    <xf numFmtId="195" fontId="0" fillId="0" borderId="10" xfId="0" applyNumberFormat="1" applyFont="1" applyBorder="1" applyAlignment="1">
      <alignment/>
    </xf>
    <xf numFmtId="4" fontId="0" fillId="0" borderId="10" xfId="0" applyNumberFormat="1" applyFill="1" applyBorder="1" applyAlignment="1">
      <alignment/>
    </xf>
    <xf numFmtId="195" fontId="0" fillId="0" borderId="10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0" fillId="34" borderId="10" xfId="0" applyFill="1" applyBorder="1" applyAlignment="1">
      <alignment horizontal="justify" wrapText="1"/>
    </xf>
    <xf numFmtId="14" fontId="0" fillId="0" borderId="10" xfId="0" applyNumberFormat="1" applyFont="1" applyBorder="1" applyAlignment="1">
      <alignment/>
    </xf>
    <xf numFmtId="0" fontId="0" fillId="35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35" borderId="14" xfId="0" applyFill="1" applyBorder="1" applyAlignment="1">
      <alignment/>
    </xf>
    <xf numFmtId="0" fontId="2" fillId="0" borderId="10" xfId="42" applyBorder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5" xfId="0" applyBorder="1" applyAlignment="1">
      <alignment horizontal="center" vertical="center"/>
    </xf>
    <xf numFmtId="192" fontId="0" fillId="0" borderId="0" xfId="0" applyNumberFormat="1" applyBorder="1" applyAlignment="1">
      <alignment/>
    </xf>
    <xf numFmtId="0" fontId="0" fillId="0" borderId="1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 horizontal="center" vertical="center"/>
    </xf>
    <xf numFmtId="195" fontId="0" fillId="0" borderId="13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0" fontId="2" fillId="0" borderId="10" xfId="42" applyBorder="1" applyAlignment="1" applyProtection="1">
      <alignment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195" fontId="0" fillId="0" borderId="10" xfId="0" applyNumberFormat="1" applyFill="1" applyBorder="1" applyAlignment="1">
      <alignment/>
    </xf>
    <xf numFmtId="195" fontId="2" fillId="0" borderId="10" xfId="42" applyNumberFormat="1" applyBorder="1" applyAlignment="1" applyProtection="1">
      <alignment wrapText="1"/>
      <protection/>
    </xf>
    <xf numFmtId="4" fontId="0" fillId="0" borderId="10" xfId="0" applyNumberFormat="1" applyFont="1" applyFill="1" applyBorder="1" applyAlignment="1">
      <alignment/>
    </xf>
    <xf numFmtId="0" fontId="2" fillId="0" borderId="10" xfId="42" applyFont="1" applyBorder="1" applyAlignment="1" applyProtection="1">
      <alignment wrapText="1"/>
      <protection/>
    </xf>
    <xf numFmtId="0" fontId="0" fillId="0" borderId="10" xfId="0" applyFont="1" applyBorder="1" applyAlignment="1">
      <alignment/>
    </xf>
    <xf numFmtId="0" fontId="2" fillId="0" borderId="10" xfId="42" applyFont="1" applyBorder="1" applyAlignment="1" applyProtection="1">
      <alignment horizontal="center" wrapText="1"/>
      <protection/>
    </xf>
    <xf numFmtId="0" fontId="0" fillId="0" borderId="10" xfId="0" applyFont="1" applyBorder="1" applyAlignment="1">
      <alignment wrapText="1"/>
    </xf>
    <xf numFmtId="0" fontId="2" fillId="0" borderId="0" xfId="42" applyFont="1" applyAlignment="1" applyProtection="1">
      <alignment horizontal="center" wrapText="1"/>
      <protection/>
    </xf>
    <xf numFmtId="195" fontId="0" fillId="0" borderId="10" xfId="0" applyNumberFormat="1" applyFont="1" applyBorder="1" applyAlignment="1">
      <alignment/>
    </xf>
    <xf numFmtId="195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14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/>
    </xf>
    <xf numFmtId="195" fontId="0" fillId="0" borderId="0" xfId="0" applyNumberFormat="1" applyBorder="1" applyAlignment="1">
      <alignment/>
    </xf>
    <xf numFmtId="200" fontId="0" fillId="0" borderId="10" xfId="0" applyNumberFormat="1" applyBorder="1" applyAlignment="1">
      <alignment/>
    </xf>
    <xf numFmtId="0" fontId="0" fillId="33" borderId="16" xfId="0" applyFont="1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200" fontId="0" fillId="0" borderId="0" xfId="0" applyNumberFormat="1" applyAlignment="1">
      <alignment/>
    </xf>
    <xf numFmtId="4" fontId="0" fillId="0" borderId="10" xfId="0" applyNumberFormat="1" applyFont="1" applyBorder="1" applyAlignment="1">
      <alignment/>
    </xf>
    <xf numFmtId="195" fontId="0" fillId="0" borderId="10" xfId="0" applyNumberFormat="1" applyFont="1" applyFill="1" applyBorder="1" applyAlignment="1">
      <alignment/>
    </xf>
    <xf numFmtId="195" fontId="4" fillId="0" borderId="0" xfId="0" applyNumberFormat="1" applyFont="1" applyFill="1" applyBorder="1" applyAlignment="1">
      <alignment/>
    </xf>
    <xf numFmtId="19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95" fontId="4" fillId="0" borderId="0" xfId="0" applyNumberFormat="1" applyFont="1" applyAlignment="1">
      <alignment/>
    </xf>
    <xf numFmtId="195" fontId="2" fillId="0" borderId="10" xfId="42" applyNumberFormat="1" applyFont="1" applyBorder="1" applyAlignment="1" applyProtection="1">
      <alignment wrapText="1"/>
      <protection/>
    </xf>
    <xf numFmtId="0" fontId="2" fillId="0" borderId="0" xfId="42" applyFont="1" applyAlignment="1" applyProtection="1">
      <alignment wrapText="1"/>
      <protection/>
    </xf>
    <xf numFmtId="0" fontId="0" fillId="33" borderId="12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1" fillId="35" borderId="14" xfId="0" applyFont="1" applyFill="1" applyBorder="1" applyAlignment="1">
      <alignment horizontal="center" wrapText="1"/>
    </xf>
    <xf numFmtId="0" fontId="1" fillId="35" borderId="18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wrapText="1"/>
    </xf>
    <xf numFmtId="0" fontId="0" fillId="37" borderId="12" xfId="0" applyFont="1" applyFill="1" applyBorder="1" applyAlignment="1">
      <alignment horizontal="center"/>
    </xf>
    <xf numFmtId="0" fontId="0" fillId="37" borderId="12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s://prim-ahtarsk.ru/administratsiya-goroda/ekonomika-i-biznes/byudzhet/aktualnaya-versiya/" TargetMode="External" /><Relationship Id="rId2" Type="http://schemas.openxmlformats.org/officeDocument/2006/relationships/hyperlink" Target="https://borodinskoe-sp.ru/economy/budget/#mo-element-region-svedeniya-o-hode-ispolneniya;https://borodinskoe-sp.ru/inova_block_documentset/document/346043/" TargetMode="External" /><Relationship Id="rId3" Type="http://schemas.openxmlformats.org/officeDocument/2006/relationships/hyperlink" Target="http://priazovskoe.ru/economy/budget/#mo-element-region-normativnyie-aktyi;%20&#1087;&#1086;%20&#1091;&#1082;&#1072;&#1079;&#1072;&#1085;&#1085;&#1086;&#1081;%20&#1089;&#1089;&#1099;&#1083;&#1082;&#1077;%20&#1075;&#1086;&#1076;&#1086;&#1074;&#1086;&#1081;%20&#1086;&#1090;&#1095;&#1077;&#1090;%20&#1086;&#1073;%20&#1080;&#1089;&#1087;&#1086;&#1083;&#1085;&#1077;&#1085;&#1080;&#1080;%20&#1073;&#1102;&#1076;&#1078;&#1077;&#1090;&#1072;%20&#1085;&#1077;%20&#1085;&#1072;&#1081;&#1076;&#1077;&#1085;" TargetMode="Externa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s://prim-ahtarsk.ru/administratsiya-goroda/ekonomika-i-biznes/byudzhet/otchety-ob-ispolnenii-byudzheta-primorsko-akhtarskogo-gorodskogo-poseleniya/2021-god-budget/;https://prim-ahtarsk.ru/administratsiya-goroda/pravotvorchestvo/sovet/?PAGEN_1=7" TargetMode="External" /><Relationship Id="rId2" Type="http://schemas.openxmlformats.org/officeDocument/2006/relationships/hyperlink" Target="https://borodinskoe-sp.ru/inova_block_documentset/document/333581/" TargetMode="External" /><Relationship Id="rId3" Type="http://schemas.openxmlformats.org/officeDocument/2006/relationships/hyperlink" Target="http://stepnogo-sp.ru/%D0%B0%D0%B4%D0%BC%D0%B8%D0%BD%D0%B8%D1%81%D1%82%D1%80%D0%B0%D1%86%D0%B8%D1%8F/%D1%8D%D0%BA%D0%BE%D0%BD%D0%BE%D0%BC%D0%B8%D0%BA%D0%B0/%D0%B1%D1%8E%D0%B4%D0%B6%D0%B5%D1%82.html" TargetMode="Externa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s://borodinskoe-sp.ru/economy/budget/" TargetMode="External" /><Relationship Id="rId2" Type="http://schemas.openxmlformats.org/officeDocument/2006/relationships/hyperlink" Target="http://priazovskoe.ru/economy/budget/#mo-element-region-normativnyie-aktyi" TargetMode="Externa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16"/>
  <sheetViews>
    <sheetView zoomScalePageLayoutView="0" workbookViewId="0" topLeftCell="B1">
      <selection activeCell="I20" sqref="I20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2.421875" style="0" customWidth="1"/>
    <col min="5" max="5" width="18.421875" style="0" customWidth="1"/>
    <col min="6" max="6" width="16.8515625" style="0" customWidth="1"/>
    <col min="7" max="8" width="17.140625" style="0" customWidth="1"/>
  </cols>
  <sheetData>
    <row r="2" spans="2:8" ht="52.5" customHeight="1">
      <c r="B2" s="85" t="s">
        <v>44</v>
      </c>
      <c r="C2" s="86"/>
      <c r="D2" s="86"/>
      <c r="E2" s="86"/>
      <c r="F2" s="86"/>
      <c r="G2" s="86"/>
      <c r="H2" s="86"/>
    </row>
    <row r="3" ht="13.5" thickBot="1"/>
    <row r="4" spans="2:6" ht="13.5" thickBot="1">
      <c r="B4" s="2" t="s">
        <v>9</v>
      </c>
      <c r="C4" s="83" t="s">
        <v>45</v>
      </c>
      <c r="D4" s="83"/>
      <c r="E4" s="83"/>
      <c r="F4" s="84"/>
    </row>
    <row r="6" spans="2:8" ht="102" customHeight="1">
      <c r="B6" s="3" t="s">
        <v>10</v>
      </c>
      <c r="C6" s="3" t="s">
        <v>46</v>
      </c>
      <c r="D6" s="3" t="s">
        <v>47</v>
      </c>
      <c r="E6" s="3" t="s">
        <v>48</v>
      </c>
      <c r="F6" s="3" t="s">
        <v>49</v>
      </c>
      <c r="G6" s="3" t="s">
        <v>50</v>
      </c>
      <c r="H6" s="3" t="s">
        <v>51</v>
      </c>
    </row>
    <row r="7" spans="2:8" ht="12.75">
      <c r="B7" s="4" t="s">
        <v>0</v>
      </c>
      <c r="C7" s="22">
        <v>2326</v>
      </c>
      <c r="D7" s="22">
        <v>0</v>
      </c>
      <c r="E7" s="22">
        <v>2326</v>
      </c>
      <c r="F7" s="31">
        <v>379523.3</v>
      </c>
      <c r="G7" s="31">
        <v>258643.1</v>
      </c>
      <c r="H7" s="31">
        <v>0</v>
      </c>
    </row>
    <row r="8" spans="2:8" ht="12.75">
      <c r="B8" s="4" t="s">
        <v>1</v>
      </c>
      <c r="C8" s="20">
        <v>603.3</v>
      </c>
      <c r="D8" s="20">
        <v>0</v>
      </c>
      <c r="E8" s="20">
        <v>603.3</v>
      </c>
      <c r="F8" s="7">
        <v>19697.1</v>
      </c>
      <c r="G8" s="7">
        <v>11596.7</v>
      </c>
      <c r="H8" s="7">
        <v>0</v>
      </c>
    </row>
    <row r="9" spans="2:8" ht="12.75">
      <c r="B9" s="4" t="s">
        <v>2</v>
      </c>
      <c r="C9" s="20">
        <v>112.4</v>
      </c>
      <c r="D9" s="20">
        <v>0</v>
      </c>
      <c r="E9" s="20">
        <v>187.4</v>
      </c>
      <c r="F9" s="7">
        <v>11751.5</v>
      </c>
      <c r="G9" s="7">
        <v>4575.3</v>
      </c>
      <c r="H9" s="7">
        <v>0</v>
      </c>
    </row>
    <row r="10" spans="2:8" ht="12.75">
      <c r="B10" s="4" t="s">
        <v>3</v>
      </c>
      <c r="C10" s="20">
        <v>0</v>
      </c>
      <c r="D10" s="20">
        <v>0</v>
      </c>
      <c r="E10" s="20">
        <v>0</v>
      </c>
      <c r="F10" s="7">
        <v>60960.9</v>
      </c>
      <c r="G10" s="7">
        <v>34157.5</v>
      </c>
      <c r="H10" s="7">
        <v>0</v>
      </c>
    </row>
    <row r="11" spans="2:8" ht="12.75">
      <c r="B11" s="4" t="s">
        <v>4</v>
      </c>
      <c r="C11" s="20">
        <v>48.7</v>
      </c>
      <c r="D11" s="20">
        <v>0</v>
      </c>
      <c r="E11" s="20">
        <v>48.7</v>
      </c>
      <c r="F11" s="7">
        <v>11327</v>
      </c>
      <c r="G11" s="7">
        <v>5771</v>
      </c>
      <c r="H11" s="7">
        <v>0</v>
      </c>
    </row>
    <row r="12" spans="2:8" ht="12.75">
      <c r="B12" s="4" t="s">
        <v>5</v>
      </c>
      <c r="C12" s="20">
        <v>0</v>
      </c>
      <c r="D12" s="20">
        <v>0</v>
      </c>
      <c r="E12" s="20">
        <v>142</v>
      </c>
      <c r="F12" s="7">
        <v>38878.8</v>
      </c>
      <c r="G12" s="7">
        <v>18677.5</v>
      </c>
      <c r="H12" s="7">
        <v>0</v>
      </c>
    </row>
    <row r="13" spans="2:8" ht="12.75">
      <c r="B13" s="4" t="s">
        <v>6</v>
      </c>
      <c r="C13" s="20">
        <v>352.2</v>
      </c>
      <c r="D13" s="20">
        <v>0</v>
      </c>
      <c r="E13" s="20">
        <v>352.2</v>
      </c>
      <c r="F13" s="7">
        <v>14255</v>
      </c>
      <c r="G13" s="7">
        <v>5229.7</v>
      </c>
      <c r="H13" s="7">
        <v>0</v>
      </c>
    </row>
    <row r="14" spans="2:8" ht="12.75">
      <c r="B14" s="4" t="s">
        <v>7</v>
      </c>
      <c r="C14" s="20">
        <v>567.1</v>
      </c>
      <c r="D14" s="20">
        <v>0</v>
      </c>
      <c r="E14" s="20">
        <v>451.1</v>
      </c>
      <c r="F14" s="7">
        <v>15366.9</v>
      </c>
      <c r="G14" s="7">
        <v>7755.9</v>
      </c>
      <c r="H14" s="7">
        <v>0</v>
      </c>
    </row>
    <row r="15" spans="2:8" ht="12.75">
      <c r="B15" s="4" t="s">
        <v>8</v>
      </c>
      <c r="C15" s="20">
        <v>916</v>
      </c>
      <c r="D15" s="20">
        <v>0</v>
      </c>
      <c r="E15" s="20">
        <v>916</v>
      </c>
      <c r="F15" s="7">
        <v>22473.4</v>
      </c>
      <c r="G15" s="7">
        <v>12532</v>
      </c>
      <c r="H15" s="7">
        <v>0</v>
      </c>
    </row>
    <row r="16" ht="12.75">
      <c r="B16" s="15"/>
    </row>
  </sheetData>
  <sheetProtection/>
  <mergeCells count="2">
    <mergeCell ref="C4:F4"/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E4">
      <selection activeCell="I16" sqref="I16"/>
    </sheetView>
  </sheetViews>
  <sheetFormatPr defaultColWidth="9.140625" defaultRowHeight="12.75"/>
  <cols>
    <col min="2" max="2" width="20.140625" style="0" bestFit="1" customWidth="1"/>
    <col min="3" max="3" width="31.421875" style="0" customWidth="1"/>
    <col min="4" max="4" width="26.8515625" style="0" customWidth="1"/>
    <col min="5" max="5" width="25.57421875" style="0" customWidth="1"/>
    <col min="6" max="6" width="23.7109375" style="0" customWidth="1"/>
  </cols>
  <sheetData>
    <row r="2" spans="2:6" ht="27.75" customHeight="1">
      <c r="B2" s="85" t="s">
        <v>92</v>
      </c>
      <c r="C2" s="86"/>
      <c r="D2" s="86"/>
      <c r="E2" s="86"/>
      <c r="F2" s="86"/>
    </row>
    <row r="3" ht="13.5" thickBot="1"/>
    <row r="4" spans="2:6" ht="13.5" thickBot="1">
      <c r="B4" s="2" t="s">
        <v>9</v>
      </c>
      <c r="C4" s="61" t="s">
        <v>93</v>
      </c>
      <c r="D4" s="6"/>
      <c r="E4" s="6"/>
      <c r="F4" s="6"/>
    </row>
    <row r="6" spans="2:6" ht="170.25" customHeight="1">
      <c r="B6" s="3" t="s">
        <v>10</v>
      </c>
      <c r="C6" s="3" t="s">
        <v>19</v>
      </c>
      <c r="D6" s="3" t="s">
        <v>18</v>
      </c>
      <c r="E6" s="3" t="s">
        <v>20</v>
      </c>
      <c r="F6" s="3" t="s">
        <v>21</v>
      </c>
    </row>
    <row r="7" spans="2:6" ht="12.75">
      <c r="B7" s="4" t="s">
        <v>0</v>
      </c>
      <c r="C7" s="7">
        <f>(32161821.85-700433.57-1079118.03)</f>
        <v>30382270.25</v>
      </c>
      <c r="D7" s="7">
        <f>(69256986.28-C7-700433.57-1091518.03)</f>
        <v>37082764.43</v>
      </c>
      <c r="E7" s="7">
        <f>(124301556.56-700433.57-9917690.23-C7-D7)</f>
        <v>46218398.080000006</v>
      </c>
      <c r="F7" s="7">
        <f>(392240871.08-700433.57-207242842.87-E7-D7-C7)</f>
        <v>70614161.87999997</v>
      </c>
    </row>
    <row r="8" spans="2:6" ht="12.75">
      <c r="B8" s="4" t="s">
        <v>1</v>
      </c>
      <c r="C8" s="23">
        <f>(2689092.16-58996.67-0)</f>
        <v>2630095.49</v>
      </c>
      <c r="D8" s="23">
        <f>(6269371.59-119465.45-0-C8)</f>
        <v>3519810.6499999994</v>
      </c>
      <c r="E8" s="23">
        <f>(13533340.98-180279.41-2706175.14-D8-C8)</f>
        <v>4496980.29</v>
      </c>
      <c r="F8" s="23">
        <f>(20768520.34-245300-6221613.83-E8-D8-C8)</f>
        <v>3654720.079999999</v>
      </c>
    </row>
    <row r="9" spans="2:6" ht="12.75">
      <c r="B9" s="4" t="s">
        <v>2</v>
      </c>
      <c r="C9" s="23">
        <f>(2360392.81-60867.2-3800)</f>
        <v>2295725.61</v>
      </c>
      <c r="D9" s="23">
        <f>(4729245.01-122066.82-3800-C9)</f>
        <v>2307652.5799999996</v>
      </c>
      <c r="E9" s="23">
        <f>(7746008.59-232941.49-19592.52-C9-D9)</f>
        <v>2890096.390000001</v>
      </c>
      <c r="F9" s="23">
        <f>(12021294.62-395323.31-51176.69-E9-D9-C9)</f>
        <v>4081320.0399999986</v>
      </c>
    </row>
    <row r="10" spans="2:6" ht="12.75">
      <c r="B10" s="4" t="s">
        <v>3</v>
      </c>
      <c r="C10" s="23">
        <f>(5488095.01-61325-3800)</f>
        <v>5422970.01</v>
      </c>
      <c r="D10" s="23">
        <f>(14116292.37-122580.22-3800-C10)</f>
        <v>8566942.139999999</v>
      </c>
      <c r="E10" s="23">
        <f>(22548645.6-183905.22-1625300.79-D10-C10)</f>
        <v>6749527.440000005</v>
      </c>
      <c r="F10" s="23">
        <f>(56644787.13-245300-22812771.93-E10-D10-C10)</f>
        <v>12847275.609999998</v>
      </c>
    </row>
    <row r="11" spans="2:6" ht="12.75">
      <c r="B11" s="4" t="s">
        <v>4</v>
      </c>
      <c r="C11" s="23">
        <f>(1752755.7-52248.07-3800)</f>
        <v>1696707.63</v>
      </c>
      <c r="D11" s="23">
        <f>(6570508.51-111929.41-2910979.99-C11)</f>
        <v>1850891.4799999995</v>
      </c>
      <c r="E11" s="23">
        <f>(8399605.15-167873.58-2910980-C11-D11)</f>
        <v>1773152.460000001</v>
      </c>
      <c r="F11" s="23">
        <f>(11718647.29-245300-2910980-E11-D11-C11)</f>
        <v>3241615.719999999</v>
      </c>
    </row>
    <row r="12" spans="2:6" ht="12.75">
      <c r="B12" s="4" t="s">
        <v>5</v>
      </c>
      <c r="C12" s="23">
        <f>(6340907.31-659438.85-191594.42)</f>
        <v>5489874.04</v>
      </c>
      <c r="D12" s="23">
        <f>(12484654.35-861790.64-240034.31-C12)</f>
        <v>5892955.3599999985</v>
      </c>
      <c r="E12" s="23">
        <f>(21577832.24-923402.71-2230174.9-D12-C12)</f>
        <v>7041425.2299999995</v>
      </c>
      <c r="F12" s="49">
        <f>(40119697.89-993365.69-8511334.31-E12-D12-C12)</f>
        <v>12190743.260000002</v>
      </c>
    </row>
    <row r="13" spans="2:6" ht="12.75">
      <c r="B13" s="4" t="s">
        <v>6</v>
      </c>
      <c r="C13" s="23">
        <f>(2182147.43-61273.44-3800)</f>
        <v>2117073.99</v>
      </c>
      <c r="D13" s="23">
        <f>(4350077.68-122546.85-3800-C13)</f>
        <v>2106656.84</v>
      </c>
      <c r="E13" s="23">
        <f>(7521073.16-277838.51-35385.05-D13-C13)</f>
        <v>2984118.7700000005</v>
      </c>
      <c r="F13" s="49">
        <f>(14574356-445330.79-2898867.82-E13-D13-C13)</f>
        <v>4022307.79</v>
      </c>
    </row>
    <row r="14" spans="2:6" ht="12.75">
      <c r="B14" s="4" t="s">
        <v>7</v>
      </c>
      <c r="C14" s="23">
        <f>(2486673.23-49678.81-0)</f>
        <v>2436994.42</v>
      </c>
      <c r="D14" s="23">
        <f>(5228101.82-110956.14-3800-C14)</f>
        <v>2676351.2600000007</v>
      </c>
      <c r="E14" s="23">
        <f>(8057698.43-172285.25-3800-D14-C14)</f>
        <v>2768267.499999999</v>
      </c>
      <c r="F14" s="49">
        <f>(15989380.75-245300-3235400-E14-D14-C14)</f>
        <v>4627067.569999999</v>
      </c>
    </row>
    <row r="15" spans="2:6" ht="12.75">
      <c r="B15" s="4" t="s">
        <v>8</v>
      </c>
      <c r="C15" s="23">
        <f>(2808550.73-60999.99-0)</f>
        <v>2747550.7399999998</v>
      </c>
      <c r="D15" s="23">
        <f>(6130331.59-121999.98-3800-C15)</f>
        <v>3256980.8699999996</v>
      </c>
      <c r="E15" s="23">
        <f>(16200421.54-182541-5068600-D15-C15)</f>
        <v>4944748.93</v>
      </c>
      <c r="F15" s="49">
        <f>(23686932.4-245300-8116039.99-E15-D15-C15)</f>
        <v>4376311.869999999</v>
      </c>
    </row>
    <row r="16" spans="3:6" ht="12.75">
      <c r="C16" s="8">
        <f>SUM(C7:C15)</f>
        <v>55219262.18000001</v>
      </c>
      <c r="D16" s="8">
        <f>SUM(D7:D15)</f>
        <v>67261005.60999998</v>
      </c>
      <c r="E16" s="8">
        <f>SUM(E7:E15)</f>
        <v>79866715.09</v>
      </c>
      <c r="F16" s="8">
        <f>SUM(F7:F15)</f>
        <v>119655523.81999996</v>
      </c>
    </row>
    <row r="17" spans="2:6" ht="12.75">
      <c r="B17" s="15"/>
      <c r="C17" s="8"/>
      <c r="D17" s="8"/>
      <c r="E17" s="8"/>
      <c r="F17" s="8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zoomScalePageLayoutView="0" workbookViewId="0" topLeftCell="D1">
      <selection activeCell="G19" sqref="G19"/>
    </sheetView>
  </sheetViews>
  <sheetFormatPr defaultColWidth="9.140625" defaultRowHeight="12.75"/>
  <cols>
    <col min="2" max="2" width="20.140625" style="0" bestFit="1" customWidth="1"/>
    <col min="3" max="3" width="26.57421875" style="0" customWidth="1"/>
    <col min="4" max="4" width="30.421875" style="0" customWidth="1"/>
    <col min="5" max="5" width="26.57421875" style="0" customWidth="1"/>
  </cols>
  <sheetData>
    <row r="2" spans="2:5" ht="57" customHeight="1">
      <c r="B2" s="85" t="s">
        <v>35</v>
      </c>
      <c r="C2" s="86"/>
      <c r="D2" s="86"/>
      <c r="E2" s="86"/>
    </row>
    <row r="3" ht="13.5" thickBot="1"/>
    <row r="4" spans="2:5" ht="13.5" thickBot="1">
      <c r="B4" s="2" t="s">
        <v>9</v>
      </c>
      <c r="C4" s="5" t="s">
        <v>36</v>
      </c>
      <c r="D4" s="6"/>
      <c r="E4" s="6"/>
    </row>
    <row r="6" spans="2:5" ht="109.5" customHeight="1">
      <c r="B6" s="3" t="s">
        <v>10</v>
      </c>
      <c r="C6" s="57" t="s">
        <v>83</v>
      </c>
      <c r="D6" s="57" t="s">
        <v>94</v>
      </c>
      <c r="E6" s="57" t="s">
        <v>79</v>
      </c>
    </row>
    <row r="7" spans="2:5" ht="12.75">
      <c r="B7" s="4" t="s">
        <v>0</v>
      </c>
      <c r="C7" s="31">
        <v>389914868.38</v>
      </c>
      <c r="D7" s="31">
        <v>2326002.7</v>
      </c>
      <c r="E7" s="7">
        <v>392240871.08</v>
      </c>
    </row>
    <row r="8" spans="2:5" ht="12.75">
      <c r="B8" s="4" t="s">
        <v>1</v>
      </c>
      <c r="C8" s="7">
        <v>20165261.51</v>
      </c>
      <c r="D8" s="7">
        <v>603258.83</v>
      </c>
      <c r="E8" s="7">
        <v>20768520.34</v>
      </c>
    </row>
    <row r="9" spans="2:5" ht="12.75">
      <c r="B9" s="4" t="s">
        <v>2</v>
      </c>
      <c r="C9" s="7">
        <v>11908931.28</v>
      </c>
      <c r="D9" s="7">
        <v>187363.34</v>
      </c>
      <c r="E9" s="7">
        <v>12021294.62</v>
      </c>
    </row>
    <row r="10" spans="2:5" ht="12.75">
      <c r="B10" s="4" t="s">
        <v>3</v>
      </c>
      <c r="C10" s="7">
        <v>59061341.67</v>
      </c>
      <c r="D10" s="7">
        <v>0</v>
      </c>
      <c r="E10" s="7">
        <v>56644787.13</v>
      </c>
    </row>
    <row r="11" spans="2:5" ht="12.75">
      <c r="B11" s="4" t="s">
        <v>4</v>
      </c>
      <c r="C11" s="7">
        <v>11669985.27</v>
      </c>
      <c r="D11" s="7">
        <v>48662.02</v>
      </c>
      <c r="E11" s="7">
        <v>11718647.29</v>
      </c>
    </row>
    <row r="12" spans="2:5" ht="12.75">
      <c r="B12" s="4" t="s">
        <v>5</v>
      </c>
      <c r="C12" s="7">
        <v>40121726.46</v>
      </c>
      <c r="D12" s="7">
        <v>141971.43</v>
      </c>
      <c r="E12" s="7">
        <v>40119697.89</v>
      </c>
    </row>
    <row r="13" spans="2:5" ht="12.75">
      <c r="B13" s="4" t="s">
        <v>6</v>
      </c>
      <c r="C13" s="7">
        <v>14222106.57</v>
      </c>
      <c r="D13" s="7">
        <v>352249.43</v>
      </c>
      <c r="E13" s="7">
        <v>14574356</v>
      </c>
    </row>
    <row r="14" spans="2:5" ht="12.75">
      <c r="B14" s="4" t="s">
        <v>7</v>
      </c>
      <c r="C14" s="7">
        <v>15422322.61</v>
      </c>
      <c r="D14" s="7">
        <v>451058.14</v>
      </c>
      <c r="E14" s="7">
        <v>15989380.75</v>
      </c>
    </row>
    <row r="15" spans="2:5" ht="12.75">
      <c r="B15" s="4" t="s">
        <v>8</v>
      </c>
      <c r="C15" s="7">
        <v>22770905.24</v>
      </c>
      <c r="D15" s="7">
        <v>916027.16</v>
      </c>
      <c r="E15" s="7">
        <v>23686932.4</v>
      </c>
    </row>
    <row r="16" spans="3:5" ht="12.75">
      <c r="C16" s="8">
        <f>SUM(C7:C15)</f>
        <v>585257448.99</v>
      </c>
      <c r="D16" s="8">
        <f>SUM(D7:D15)</f>
        <v>5026593.050000001</v>
      </c>
      <c r="E16" s="8">
        <f>SUM(E7:E15)</f>
        <v>587764487.4999999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A4">
      <selection activeCell="C25" sqref="C25"/>
    </sheetView>
  </sheetViews>
  <sheetFormatPr defaultColWidth="9.140625" defaultRowHeight="12.75"/>
  <cols>
    <col min="2" max="2" width="20.140625" style="0" bestFit="1" customWidth="1"/>
    <col min="3" max="3" width="30.140625" style="0" customWidth="1"/>
    <col min="4" max="4" width="13.57421875" style="0" customWidth="1"/>
  </cols>
  <sheetData>
    <row r="2" spans="2:4" ht="45.75" customHeight="1">
      <c r="B2" s="85" t="s">
        <v>113</v>
      </c>
      <c r="C2" s="86"/>
      <c r="D2" s="86"/>
    </row>
    <row r="3" ht="13.5" thickBot="1"/>
    <row r="4" spans="2:3" ht="13.5" thickBot="1">
      <c r="B4" s="2" t="s">
        <v>9</v>
      </c>
      <c r="C4" s="5" t="s">
        <v>87</v>
      </c>
    </row>
    <row r="6" spans="2:4" ht="120" customHeight="1">
      <c r="B6" s="3" t="s">
        <v>10</v>
      </c>
      <c r="C6" s="3" t="s">
        <v>88</v>
      </c>
      <c r="D6" s="3" t="s">
        <v>23</v>
      </c>
    </row>
    <row r="7" spans="2:4" ht="12.75">
      <c r="B7" s="4" t="s">
        <v>0</v>
      </c>
      <c r="C7" s="68"/>
      <c r="D7" s="13" t="s">
        <v>37</v>
      </c>
    </row>
    <row r="8" spans="2:4" ht="12.75">
      <c r="B8" s="4" t="s">
        <v>1</v>
      </c>
      <c r="C8" s="68"/>
      <c r="D8" s="13" t="s">
        <v>37</v>
      </c>
    </row>
    <row r="9" spans="2:4" ht="12.75">
      <c r="B9" s="4" t="s">
        <v>2</v>
      </c>
      <c r="C9" s="68"/>
      <c r="D9" s="13" t="s">
        <v>37</v>
      </c>
    </row>
    <row r="10" spans="2:4" ht="12.75">
      <c r="B10" s="4" t="s">
        <v>3</v>
      </c>
      <c r="C10" s="68"/>
      <c r="D10" s="13" t="s">
        <v>37</v>
      </c>
    </row>
    <row r="11" spans="2:4" ht="12.75">
      <c r="B11" s="4" t="s">
        <v>4</v>
      </c>
      <c r="C11" s="68"/>
      <c r="D11" s="13" t="s">
        <v>37</v>
      </c>
    </row>
    <row r="12" spans="2:4" ht="12.75">
      <c r="B12" s="4" t="s">
        <v>5</v>
      </c>
      <c r="C12" s="68"/>
      <c r="D12" s="13" t="s">
        <v>37</v>
      </c>
    </row>
    <row r="13" spans="2:4" ht="12.75">
      <c r="B13" s="4" t="s">
        <v>6</v>
      </c>
      <c r="C13" s="68"/>
      <c r="D13" s="13" t="s">
        <v>37</v>
      </c>
    </row>
    <row r="14" spans="2:4" ht="12.75">
      <c r="B14" s="4" t="s">
        <v>7</v>
      </c>
      <c r="C14" s="68"/>
      <c r="D14" s="13" t="s">
        <v>37</v>
      </c>
    </row>
    <row r="15" spans="2:4" ht="12.75">
      <c r="B15" s="4" t="s">
        <v>8</v>
      </c>
      <c r="C15" s="68"/>
      <c r="D15" s="13" t="s">
        <v>37</v>
      </c>
    </row>
    <row r="16" ht="12.75">
      <c r="C16" s="8"/>
    </row>
    <row r="17" ht="12.75">
      <c r="B17" s="15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C4">
      <selection activeCell="D24" sqref="D24"/>
    </sheetView>
  </sheetViews>
  <sheetFormatPr defaultColWidth="9.140625" defaultRowHeight="12.75"/>
  <cols>
    <col min="2" max="2" width="20.140625" style="0" bestFit="1" customWidth="1"/>
    <col min="3" max="3" width="33.421875" style="0" customWidth="1"/>
    <col min="4" max="4" width="30.7109375" style="0" customWidth="1"/>
  </cols>
  <sheetData>
    <row r="2" spans="2:4" ht="46.5" customHeight="1">
      <c r="B2" s="85" t="s">
        <v>89</v>
      </c>
      <c r="C2" s="86"/>
      <c r="D2" s="86"/>
    </row>
    <row r="3" ht="13.5" thickBot="1"/>
    <row r="4" spans="2:4" ht="13.5" thickBot="1">
      <c r="B4" s="2" t="s">
        <v>9</v>
      </c>
      <c r="C4" s="83" t="s">
        <v>15</v>
      </c>
      <c r="D4" s="83"/>
    </row>
    <row r="6" spans="2:4" ht="141" customHeight="1">
      <c r="B6" s="3" t="s">
        <v>10</v>
      </c>
      <c r="C6" s="3" t="s">
        <v>90</v>
      </c>
      <c r="D6" s="3" t="s">
        <v>91</v>
      </c>
    </row>
    <row r="7" spans="2:4" ht="12.75">
      <c r="B7" s="4" t="s">
        <v>0</v>
      </c>
      <c r="C7" s="7">
        <v>133085.7</v>
      </c>
      <c r="D7" s="7">
        <v>122646</v>
      </c>
    </row>
    <row r="8" spans="2:4" ht="12.75">
      <c r="B8" s="4" t="s">
        <v>1</v>
      </c>
      <c r="C8" s="7">
        <v>9596.2</v>
      </c>
      <c r="D8" s="7">
        <v>7898.5</v>
      </c>
    </row>
    <row r="9" spans="2:4" ht="12.75">
      <c r="B9" s="4" t="s">
        <v>2</v>
      </c>
      <c r="C9" s="7">
        <v>7183.1</v>
      </c>
      <c r="D9" s="7">
        <v>7635</v>
      </c>
    </row>
    <row r="10" spans="2:4" ht="12.75">
      <c r="B10" s="4" t="s">
        <v>3</v>
      </c>
      <c r="C10" s="7">
        <v>30379.7</v>
      </c>
      <c r="D10" s="7">
        <v>28057.1</v>
      </c>
    </row>
    <row r="11" spans="2:4" ht="12.75">
      <c r="B11" s="4" t="s">
        <v>4</v>
      </c>
      <c r="C11" s="7">
        <v>5898.6</v>
      </c>
      <c r="D11" s="7">
        <v>5835.7</v>
      </c>
    </row>
    <row r="12" spans="2:4" ht="12.75">
      <c r="B12" s="4" t="s">
        <v>5</v>
      </c>
      <c r="C12" s="7">
        <v>19147.4</v>
      </c>
      <c r="D12" s="7">
        <v>18365.2</v>
      </c>
    </row>
    <row r="13" spans="2:4" ht="12.75">
      <c r="B13" s="4" t="s">
        <v>6</v>
      </c>
      <c r="C13" s="7">
        <v>9166.4</v>
      </c>
      <c r="D13" s="7">
        <v>9599.7</v>
      </c>
    </row>
    <row r="14" spans="2:4" ht="12.75">
      <c r="B14" s="4" t="s">
        <v>7</v>
      </c>
      <c r="C14" s="7">
        <v>7183.5</v>
      </c>
      <c r="D14" s="7">
        <v>8124.4</v>
      </c>
    </row>
    <row r="15" spans="2:4" ht="12.75">
      <c r="B15" s="4" t="s">
        <v>8</v>
      </c>
      <c r="C15" s="7">
        <v>10233.7</v>
      </c>
      <c r="D15" s="7">
        <v>10904.5</v>
      </c>
    </row>
    <row r="16" spans="3:4" ht="12.75">
      <c r="C16" s="70">
        <f>SUM(C7:C15)</f>
        <v>231874.30000000005</v>
      </c>
      <c r="D16" s="70"/>
    </row>
    <row r="17" spans="3:4" ht="12.75">
      <c r="C17" s="8"/>
      <c r="D17" s="8"/>
    </row>
    <row r="18" ht="12.75">
      <c r="B18" s="15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7"/>
  <sheetViews>
    <sheetView zoomScalePageLayoutView="0" workbookViewId="0" topLeftCell="B1">
      <selection activeCell="D25" sqref="D25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</cols>
  <sheetData>
    <row r="2" spans="2:4" ht="30.75" customHeight="1">
      <c r="B2" s="85" t="s">
        <v>17</v>
      </c>
      <c r="C2" s="86"/>
      <c r="D2" s="86"/>
    </row>
    <row r="3" ht="13.5" thickBot="1"/>
    <row r="4" spans="2:4" ht="13.5" thickBot="1">
      <c r="B4" s="2" t="s">
        <v>9</v>
      </c>
      <c r="C4" s="83" t="s">
        <v>72</v>
      </c>
      <c r="D4" s="83"/>
    </row>
    <row r="6" spans="2:4" ht="75.75" customHeight="1">
      <c r="B6" s="3" t="s">
        <v>10</v>
      </c>
      <c r="C6" s="3" t="s">
        <v>112</v>
      </c>
      <c r="D6" s="3" t="s">
        <v>111</v>
      </c>
    </row>
    <row r="7" spans="2:4" ht="12.75">
      <c r="B7" s="4" t="s">
        <v>0</v>
      </c>
      <c r="C7" s="20">
        <v>19730.8</v>
      </c>
      <c r="D7" s="20">
        <v>13781.7</v>
      </c>
    </row>
    <row r="8" spans="2:4" ht="12.75">
      <c r="B8" s="4" t="s">
        <v>1</v>
      </c>
      <c r="C8" s="20">
        <v>1188.4</v>
      </c>
      <c r="D8" s="20">
        <v>802.2</v>
      </c>
    </row>
    <row r="9" spans="2:4" ht="12.75">
      <c r="B9" s="4" t="s">
        <v>2</v>
      </c>
      <c r="C9" s="20">
        <v>922.2</v>
      </c>
      <c r="D9" s="20">
        <v>980.4</v>
      </c>
    </row>
    <row r="10" spans="2:4" ht="12.75">
      <c r="B10" s="4" t="s">
        <v>3</v>
      </c>
      <c r="C10" s="20">
        <v>1920.2</v>
      </c>
      <c r="D10" s="20">
        <v>1877.1</v>
      </c>
    </row>
    <row r="11" spans="2:4" ht="12.75">
      <c r="B11" s="4" t="s">
        <v>4</v>
      </c>
      <c r="C11" s="20">
        <v>846.8</v>
      </c>
      <c r="D11" s="20">
        <v>463</v>
      </c>
    </row>
    <row r="12" spans="2:4" ht="12.75">
      <c r="B12" s="4" t="s">
        <v>5</v>
      </c>
      <c r="C12" s="20">
        <v>1208.9</v>
      </c>
      <c r="D12" s="20">
        <v>1160.3</v>
      </c>
    </row>
    <row r="13" spans="2:4" ht="12.75">
      <c r="B13" s="4" t="s">
        <v>6</v>
      </c>
      <c r="C13" s="20">
        <v>808.6</v>
      </c>
      <c r="D13" s="20">
        <v>638.4</v>
      </c>
    </row>
    <row r="14" spans="2:4" ht="12.75">
      <c r="B14" s="4" t="s">
        <v>7</v>
      </c>
      <c r="C14" s="20">
        <v>684.6</v>
      </c>
      <c r="D14" s="20">
        <v>628.1</v>
      </c>
    </row>
    <row r="15" spans="2:4" ht="12.75">
      <c r="B15" s="4" t="s">
        <v>8</v>
      </c>
      <c r="C15" s="20">
        <v>909.9</v>
      </c>
      <c r="D15" s="20">
        <v>811</v>
      </c>
    </row>
    <row r="16" spans="3:4" ht="12.75">
      <c r="C16" s="71"/>
      <c r="D16" s="71"/>
    </row>
    <row r="17" ht="12.75">
      <c r="B17" s="15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E7">
      <selection activeCell="G8" sqref="G8"/>
    </sheetView>
  </sheetViews>
  <sheetFormatPr defaultColWidth="9.140625" defaultRowHeight="12.75"/>
  <cols>
    <col min="2" max="2" width="20.140625" style="0" bestFit="1" customWidth="1"/>
    <col min="3" max="3" width="53.28125" style="0" customWidth="1"/>
    <col min="4" max="5" width="40.7109375" style="0" customWidth="1"/>
  </cols>
  <sheetData>
    <row r="2" spans="2:5" ht="40.5" customHeight="1">
      <c r="B2" s="85" t="s">
        <v>66</v>
      </c>
      <c r="C2" s="86"/>
      <c r="D2" s="86"/>
      <c r="E2" s="86"/>
    </row>
    <row r="3" ht="13.5" thickBot="1"/>
    <row r="4" spans="2:5" ht="13.5" thickBot="1">
      <c r="B4" s="2" t="s">
        <v>9</v>
      </c>
      <c r="C4" s="89" t="s">
        <v>15</v>
      </c>
      <c r="D4" s="90"/>
      <c r="E4" s="6"/>
    </row>
    <row r="6" spans="2:5" ht="292.5" customHeight="1">
      <c r="B6" s="3" t="s">
        <v>10</v>
      </c>
      <c r="C6" s="3" t="s">
        <v>67</v>
      </c>
      <c r="D6" s="57" t="s">
        <v>95</v>
      </c>
      <c r="E6" s="57" t="s">
        <v>96</v>
      </c>
    </row>
    <row r="7" spans="2:5" ht="12.75">
      <c r="B7" s="4" t="s">
        <v>0</v>
      </c>
      <c r="C7" s="22">
        <v>18853</v>
      </c>
      <c r="D7" s="22">
        <v>428152.7</v>
      </c>
      <c r="E7" s="22">
        <f>12.4+2177.7</f>
        <v>2190.1</v>
      </c>
    </row>
    <row r="8" spans="2:5" ht="12.75">
      <c r="B8" s="4" t="s">
        <v>1</v>
      </c>
      <c r="C8" s="22">
        <v>3370.7</v>
      </c>
      <c r="D8" s="22">
        <v>21895.4</v>
      </c>
      <c r="E8" s="22">
        <v>249.1</v>
      </c>
    </row>
    <row r="9" spans="2:5" ht="12.75">
      <c r="B9" s="4" t="s">
        <v>2</v>
      </c>
      <c r="C9" s="22">
        <v>3586.7</v>
      </c>
      <c r="D9" s="22">
        <v>12618.1</v>
      </c>
      <c r="E9" s="22">
        <v>249.1</v>
      </c>
    </row>
    <row r="10" spans="2:5" ht="12.75">
      <c r="B10" s="4" t="s">
        <v>3</v>
      </c>
      <c r="C10" s="22">
        <v>5660.1</v>
      </c>
      <c r="D10" s="22">
        <v>67601.6</v>
      </c>
      <c r="E10" s="22">
        <v>249.1</v>
      </c>
    </row>
    <row r="11" spans="2:5" ht="12.75">
      <c r="B11" s="4" t="s">
        <v>4</v>
      </c>
      <c r="C11" s="22">
        <v>3033.5</v>
      </c>
      <c r="D11" s="22">
        <v>11725.8</v>
      </c>
      <c r="E11" s="22">
        <v>249.1</v>
      </c>
    </row>
    <row r="12" spans="2:5" ht="12.75">
      <c r="B12" s="4" t="s">
        <v>5</v>
      </c>
      <c r="C12" s="22">
        <v>5509.8</v>
      </c>
      <c r="D12" s="22">
        <v>40871.4</v>
      </c>
      <c r="E12" s="22">
        <v>249.1</v>
      </c>
    </row>
    <row r="13" spans="2:5" ht="12.75">
      <c r="B13" s="4" t="s">
        <v>6</v>
      </c>
      <c r="C13" s="22">
        <v>3473.6</v>
      </c>
      <c r="D13" s="22">
        <v>15712.9</v>
      </c>
      <c r="E13" s="22">
        <v>249.1</v>
      </c>
    </row>
    <row r="14" spans="2:5" ht="12.75">
      <c r="B14" s="4" t="s">
        <v>7</v>
      </c>
      <c r="C14" s="22">
        <v>3559.4</v>
      </c>
      <c r="D14" s="22">
        <v>16151.3</v>
      </c>
      <c r="E14" s="22">
        <v>249.1</v>
      </c>
    </row>
    <row r="15" spans="2:5" ht="12.75">
      <c r="B15" s="4" t="s">
        <v>8</v>
      </c>
      <c r="C15" s="20">
        <v>3757.5</v>
      </c>
      <c r="D15" s="20">
        <v>26300.7</v>
      </c>
      <c r="E15" s="22">
        <v>249.1</v>
      </c>
    </row>
    <row r="16" spans="3:4" ht="12.75">
      <c r="C16" s="21"/>
      <c r="D16" s="21"/>
    </row>
    <row r="17" ht="12.75">
      <c r="B17" s="15"/>
    </row>
    <row r="18" ht="12.75">
      <c r="C18" s="25"/>
    </row>
  </sheetData>
  <sheetProtection/>
  <mergeCells count="2">
    <mergeCell ref="B2:E2"/>
    <mergeCell ref="C4:D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C1">
      <selection activeCell="F23" sqref="F23"/>
    </sheetView>
  </sheetViews>
  <sheetFormatPr defaultColWidth="9.140625" defaultRowHeight="12.75"/>
  <cols>
    <col min="2" max="2" width="20.140625" style="0" bestFit="1" customWidth="1"/>
    <col min="3" max="3" width="20.140625" style="0" customWidth="1"/>
    <col min="4" max="4" width="15.28125" style="0" customWidth="1"/>
    <col min="5" max="6" width="15.8515625" style="0" customWidth="1"/>
  </cols>
  <sheetData>
    <row r="2" spans="2:6" ht="36" customHeight="1">
      <c r="B2" s="85" t="s">
        <v>52</v>
      </c>
      <c r="C2" s="86"/>
      <c r="D2" s="86"/>
      <c r="E2" s="86"/>
      <c r="F2" s="86"/>
    </row>
    <row r="3" ht="13.5" thickBot="1"/>
    <row r="4" spans="2:3" ht="13.5" thickBot="1">
      <c r="B4" s="2" t="s">
        <v>9</v>
      </c>
      <c r="C4" s="67" t="s">
        <v>97</v>
      </c>
    </row>
    <row r="6" spans="2:6" ht="75.75" customHeight="1">
      <c r="B6" s="3" t="s">
        <v>10</v>
      </c>
      <c r="C6" s="57" t="s">
        <v>54</v>
      </c>
      <c r="D6" s="57" t="s">
        <v>55</v>
      </c>
      <c r="E6" s="57" t="s">
        <v>56</v>
      </c>
      <c r="F6" s="57" t="s">
        <v>98</v>
      </c>
    </row>
    <row r="7" spans="2:6" ht="12.75">
      <c r="B7" s="4" t="s">
        <v>0</v>
      </c>
      <c r="C7" s="47">
        <v>0</v>
      </c>
      <c r="D7" s="31">
        <v>379523.3</v>
      </c>
      <c r="E7" s="31">
        <v>258643.1</v>
      </c>
      <c r="F7" s="7">
        <v>0</v>
      </c>
    </row>
    <row r="8" spans="2:6" ht="12.75">
      <c r="B8" s="4" t="s">
        <v>1</v>
      </c>
      <c r="C8" s="47">
        <v>0</v>
      </c>
      <c r="D8" s="7">
        <v>19697.1</v>
      </c>
      <c r="E8" s="7">
        <v>11596.7</v>
      </c>
      <c r="F8" s="7">
        <v>0</v>
      </c>
    </row>
    <row r="9" spans="2:6" ht="12.75">
      <c r="B9" s="4" t="s">
        <v>2</v>
      </c>
      <c r="C9" s="20">
        <v>675</v>
      </c>
      <c r="D9" s="7">
        <v>11751.5</v>
      </c>
      <c r="E9" s="7">
        <v>4575.3</v>
      </c>
      <c r="F9" s="7">
        <v>0</v>
      </c>
    </row>
    <row r="10" spans="2:6" ht="12.75">
      <c r="B10" s="4" t="s">
        <v>3</v>
      </c>
      <c r="C10" s="20">
        <v>0</v>
      </c>
      <c r="D10" s="7">
        <v>60960.9</v>
      </c>
      <c r="E10" s="7">
        <v>34157.5</v>
      </c>
      <c r="F10" s="7">
        <v>0</v>
      </c>
    </row>
    <row r="11" spans="2:6" ht="12.75">
      <c r="B11" s="4" t="s">
        <v>4</v>
      </c>
      <c r="C11" s="20">
        <v>0</v>
      </c>
      <c r="D11" s="7">
        <v>11327</v>
      </c>
      <c r="E11" s="7">
        <v>5771</v>
      </c>
      <c r="F11" s="7">
        <v>0</v>
      </c>
    </row>
    <row r="12" spans="2:6" ht="12.75">
      <c r="B12" s="4" t="s">
        <v>5</v>
      </c>
      <c r="C12" s="20">
        <v>216</v>
      </c>
      <c r="D12" s="7">
        <v>38878.8</v>
      </c>
      <c r="E12" s="7">
        <v>18677.5</v>
      </c>
      <c r="F12" s="7">
        <v>0</v>
      </c>
    </row>
    <row r="13" spans="2:6" ht="12.75">
      <c r="B13" s="4" t="s">
        <v>6</v>
      </c>
      <c r="C13" s="20">
        <v>0</v>
      </c>
      <c r="D13" s="7">
        <v>14255</v>
      </c>
      <c r="E13" s="7">
        <v>5229.7</v>
      </c>
      <c r="F13" s="7">
        <v>0</v>
      </c>
    </row>
    <row r="14" spans="2:6" ht="12.75">
      <c r="B14" s="4" t="s">
        <v>7</v>
      </c>
      <c r="C14" s="20">
        <v>326</v>
      </c>
      <c r="D14" s="7">
        <v>15366.9</v>
      </c>
      <c r="E14" s="7">
        <v>7755.9</v>
      </c>
      <c r="F14" s="7">
        <v>0</v>
      </c>
    </row>
    <row r="15" spans="2:6" ht="12.75">
      <c r="B15" s="4" t="s">
        <v>8</v>
      </c>
      <c r="C15" s="20">
        <v>0</v>
      </c>
      <c r="D15" s="7">
        <v>22473.4</v>
      </c>
      <c r="E15" s="7">
        <v>12532</v>
      </c>
      <c r="F15" s="7">
        <v>0</v>
      </c>
    </row>
    <row r="16" spans="3:6" ht="12.75">
      <c r="C16" s="8"/>
      <c r="D16" s="8"/>
      <c r="E16" s="8"/>
      <c r="F16" s="8"/>
    </row>
    <row r="17" spans="2:3" ht="12.75">
      <c r="B17" s="15"/>
      <c r="C17" s="15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zoomScalePageLayoutView="0" workbookViewId="0" topLeftCell="D1">
      <selection activeCell="E18" sqref="E18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34.28125" style="0" customWidth="1"/>
  </cols>
  <sheetData>
    <row r="2" spans="2:5" ht="46.5" customHeight="1">
      <c r="B2" s="85" t="s">
        <v>62</v>
      </c>
      <c r="C2" s="86"/>
      <c r="D2" s="86"/>
      <c r="E2" s="86"/>
    </row>
    <row r="3" ht="13.5" thickBot="1"/>
    <row r="4" spans="2:5" ht="13.5" thickBot="1">
      <c r="B4" s="2" t="s">
        <v>9</v>
      </c>
      <c r="C4" s="87" t="s">
        <v>99</v>
      </c>
      <c r="D4" s="83"/>
      <c r="E4" s="6"/>
    </row>
    <row r="6" spans="2:5" ht="93.75" customHeight="1">
      <c r="B6" s="3" t="s">
        <v>10</v>
      </c>
      <c r="C6" s="57" t="s">
        <v>63</v>
      </c>
      <c r="D6" s="57" t="s">
        <v>64</v>
      </c>
      <c r="E6" s="57" t="s">
        <v>65</v>
      </c>
    </row>
    <row r="7" spans="2:5" ht="12.75">
      <c r="B7" s="4" t="s">
        <v>0</v>
      </c>
      <c r="C7" s="7">
        <v>0</v>
      </c>
      <c r="D7" s="7">
        <v>392240871.08</v>
      </c>
      <c r="E7" s="24">
        <v>12400</v>
      </c>
    </row>
    <row r="8" spans="2:5" ht="12.75">
      <c r="B8" s="4" t="s">
        <v>1</v>
      </c>
      <c r="C8" s="7">
        <v>0</v>
      </c>
      <c r="D8" s="7">
        <v>20768520.34</v>
      </c>
      <c r="E8" s="24">
        <v>249100</v>
      </c>
    </row>
    <row r="9" spans="2:5" ht="12.75">
      <c r="B9" s="4" t="s">
        <v>2</v>
      </c>
      <c r="C9" s="7">
        <v>1007.66</v>
      </c>
      <c r="D9" s="7">
        <v>12021294.62</v>
      </c>
      <c r="E9" s="24">
        <v>249100</v>
      </c>
    </row>
    <row r="10" spans="2:5" ht="12.75">
      <c r="B10" s="4" t="s">
        <v>3</v>
      </c>
      <c r="C10" s="7">
        <v>378.75</v>
      </c>
      <c r="D10" s="7">
        <v>56644787.13</v>
      </c>
      <c r="E10" s="24">
        <v>249100</v>
      </c>
    </row>
    <row r="11" spans="2:5" ht="12.75">
      <c r="B11" s="4" t="s">
        <v>4</v>
      </c>
      <c r="C11" s="7">
        <v>0</v>
      </c>
      <c r="D11" s="7">
        <v>11718647.29</v>
      </c>
      <c r="E11" s="24">
        <v>249100</v>
      </c>
    </row>
    <row r="12" spans="2:5" ht="12.75">
      <c r="B12" s="4" t="s">
        <v>5</v>
      </c>
      <c r="C12" s="7">
        <v>341.89</v>
      </c>
      <c r="D12" s="7">
        <v>40119697.89</v>
      </c>
      <c r="E12" s="24">
        <v>249100</v>
      </c>
    </row>
    <row r="13" spans="2:5" ht="12.75">
      <c r="B13" s="4" t="s">
        <v>6</v>
      </c>
      <c r="C13" s="7">
        <v>0</v>
      </c>
      <c r="D13" s="7">
        <v>14574356</v>
      </c>
      <c r="E13" s="24">
        <v>249100</v>
      </c>
    </row>
    <row r="14" spans="2:5" ht="12.75">
      <c r="B14" s="4" t="s">
        <v>7</v>
      </c>
      <c r="C14" s="7">
        <v>320.52</v>
      </c>
      <c r="D14" s="7">
        <v>15989380.75</v>
      </c>
      <c r="E14" s="24">
        <v>249100</v>
      </c>
    </row>
    <row r="15" spans="2:5" ht="12.75">
      <c r="B15" s="4" t="s">
        <v>8</v>
      </c>
      <c r="C15" s="7">
        <v>0</v>
      </c>
      <c r="D15" s="7">
        <v>23686932.4</v>
      </c>
      <c r="E15" s="24">
        <v>249100</v>
      </c>
    </row>
    <row r="16" spans="3:5" ht="12.75">
      <c r="C16" s="8">
        <f>SUM(C7:C15)</f>
        <v>2048.8199999999997</v>
      </c>
      <c r="D16" s="21">
        <f>SUM(D7:D15)</f>
        <v>587764487.4999999</v>
      </c>
      <c r="E16" s="21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8"/>
  <sheetViews>
    <sheetView zoomScalePageLayoutView="0" workbookViewId="0" topLeftCell="D1">
      <selection activeCell="F26" sqref="F26"/>
    </sheetView>
  </sheetViews>
  <sheetFormatPr defaultColWidth="9.140625" defaultRowHeight="12.75"/>
  <cols>
    <col min="2" max="2" width="20.140625" style="0" bestFit="1" customWidth="1"/>
    <col min="3" max="3" width="25.7109375" style="0" customWidth="1"/>
    <col min="4" max="4" width="28.8515625" style="0" customWidth="1"/>
    <col min="5" max="5" width="25.00390625" style="0" customWidth="1"/>
    <col min="6" max="6" width="24.140625" style="0" customWidth="1"/>
    <col min="7" max="7" width="32.57421875" style="0" customWidth="1"/>
  </cols>
  <sheetData>
    <row r="2" spans="2:7" ht="30.75" customHeight="1">
      <c r="B2" s="85" t="s">
        <v>100</v>
      </c>
      <c r="C2" s="86"/>
      <c r="D2" s="86"/>
      <c r="E2" s="86"/>
      <c r="F2" s="86"/>
      <c r="G2" s="86"/>
    </row>
    <row r="3" ht="13.5" thickBot="1"/>
    <row r="4" spans="2:7" ht="13.5" thickBot="1">
      <c r="B4" s="2" t="s">
        <v>9</v>
      </c>
      <c r="C4" s="87" t="s">
        <v>101</v>
      </c>
      <c r="D4" s="83"/>
      <c r="E4" s="6"/>
      <c r="F4" s="6"/>
      <c r="G4" s="6"/>
    </row>
    <row r="6" spans="2:7" ht="113.25" customHeight="1">
      <c r="B6" s="3" t="s">
        <v>10</v>
      </c>
      <c r="C6" s="57" t="s">
        <v>102</v>
      </c>
      <c r="D6" s="57" t="s">
        <v>103</v>
      </c>
      <c r="E6" s="57" t="s">
        <v>104</v>
      </c>
      <c r="F6" s="57" t="s">
        <v>105</v>
      </c>
      <c r="G6" s="57" t="s">
        <v>106</v>
      </c>
    </row>
    <row r="7" spans="2:7" ht="12.75">
      <c r="B7" s="4" t="s">
        <v>0</v>
      </c>
      <c r="C7" s="24">
        <v>0</v>
      </c>
      <c r="D7" s="47">
        <f>E28</f>
        <v>7119.8000000000175</v>
      </c>
      <c r="E7" s="7">
        <f>E39</f>
        <v>3703</v>
      </c>
      <c r="F7" s="24">
        <f>C28</f>
        <v>131629.8</v>
      </c>
      <c r="G7" s="24">
        <f>C39</f>
        <v>37125.9</v>
      </c>
    </row>
    <row r="8" spans="2:7" ht="12.75">
      <c r="B8" s="4" t="s">
        <v>1</v>
      </c>
      <c r="C8" s="24">
        <v>0</v>
      </c>
      <c r="D8" s="47">
        <v>0</v>
      </c>
      <c r="E8" s="7">
        <f>E40</f>
        <v>1843.5</v>
      </c>
      <c r="F8" s="24">
        <f>C29</f>
        <v>13160.9</v>
      </c>
      <c r="G8" s="24">
        <f>C40</f>
        <v>2258.2</v>
      </c>
    </row>
    <row r="9" spans="2:7" ht="12.75">
      <c r="B9" s="4" t="s">
        <v>2</v>
      </c>
      <c r="C9" s="24">
        <v>0</v>
      </c>
      <c r="D9" s="47">
        <v>0</v>
      </c>
      <c r="E9" s="7">
        <f>E41</f>
        <v>425.8000000000002</v>
      </c>
      <c r="F9" s="24">
        <f>C30</f>
        <v>7635</v>
      </c>
      <c r="G9" s="24">
        <f>C41</f>
        <v>3703</v>
      </c>
    </row>
    <row r="10" spans="2:7" ht="12.75">
      <c r="B10" s="4" t="s">
        <v>3</v>
      </c>
      <c r="C10" s="24">
        <v>0</v>
      </c>
      <c r="D10" s="47">
        <f>E31</f>
        <v>2322.600000000002</v>
      </c>
      <c r="E10" s="7">
        <f>E42</f>
        <v>72.20000000000005</v>
      </c>
      <c r="F10" s="24">
        <f>C31</f>
        <v>28057.1</v>
      </c>
      <c r="G10" s="24">
        <f>C42</f>
        <v>514.8</v>
      </c>
    </row>
    <row r="11" spans="2:7" ht="12.75">
      <c r="B11" s="4" t="s">
        <v>4</v>
      </c>
      <c r="C11" s="24">
        <v>0</v>
      </c>
      <c r="D11" s="47">
        <f>E32</f>
        <v>62.900000000000546</v>
      </c>
      <c r="E11" s="7">
        <f>E43</f>
        <v>6</v>
      </c>
      <c r="F11" s="24">
        <f>C32</f>
        <v>5835.7</v>
      </c>
      <c r="G11" s="24">
        <f>C43</f>
        <v>2608.6</v>
      </c>
    </row>
    <row r="12" spans="2:7" ht="12.75">
      <c r="B12" s="4" t="s">
        <v>5</v>
      </c>
      <c r="C12" s="24">
        <v>0</v>
      </c>
      <c r="D12" s="47">
        <f>E33</f>
        <v>3078.5</v>
      </c>
      <c r="E12" s="7">
        <v>0</v>
      </c>
      <c r="F12" s="24">
        <f>C33</f>
        <v>18365.2</v>
      </c>
      <c r="G12" s="24">
        <f>C44</f>
        <v>7523.8</v>
      </c>
    </row>
    <row r="13" spans="2:7" ht="12.75">
      <c r="B13" s="4" t="s">
        <v>6</v>
      </c>
      <c r="C13" s="24">
        <v>0</v>
      </c>
      <c r="D13" s="47">
        <v>0</v>
      </c>
      <c r="E13" s="7">
        <f>E45</f>
        <v>1144.5</v>
      </c>
      <c r="F13" s="24">
        <f>C34</f>
        <v>9665.6</v>
      </c>
      <c r="G13" s="24">
        <f>C45</f>
        <v>566.5</v>
      </c>
    </row>
    <row r="14" spans="2:7" ht="12.75">
      <c r="B14" s="4" t="s">
        <v>7</v>
      </c>
      <c r="C14" s="24">
        <v>116</v>
      </c>
      <c r="D14" s="47">
        <v>0</v>
      </c>
      <c r="E14" s="7">
        <f>E46</f>
        <v>1230.1</v>
      </c>
      <c r="F14" s="24">
        <f>C35</f>
        <v>8124.4</v>
      </c>
      <c r="G14" s="24">
        <f>C46</f>
        <v>2726.4</v>
      </c>
    </row>
    <row r="15" spans="2:7" ht="12.75">
      <c r="B15" s="4" t="s">
        <v>8</v>
      </c>
      <c r="C15" s="24">
        <v>0</v>
      </c>
      <c r="D15" s="47">
        <v>0</v>
      </c>
      <c r="E15" s="7">
        <v>0</v>
      </c>
      <c r="F15" s="24">
        <f>C36</f>
        <v>10904.5</v>
      </c>
      <c r="G15" s="24">
        <f>C47</f>
        <v>3848.2</v>
      </c>
    </row>
    <row r="16" spans="2:7" s="36" customFormat="1" ht="12.75">
      <c r="B16" s="36" t="s">
        <v>119</v>
      </c>
      <c r="C16" s="76">
        <v>2020</v>
      </c>
      <c r="D16" s="77">
        <v>2021</v>
      </c>
      <c r="E16" s="78"/>
      <c r="F16" s="78"/>
      <c r="G16" s="79"/>
    </row>
    <row r="17" spans="3:7" ht="12.75">
      <c r="C17" s="47">
        <v>0</v>
      </c>
      <c r="D17" s="47">
        <v>0</v>
      </c>
      <c r="E17" s="15"/>
      <c r="F17" s="15"/>
      <c r="G17" s="15"/>
    </row>
    <row r="18" spans="3:4" ht="12.75">
      <c r="C18" s="47">
        <v>0</v>
      </c>
      <c r="D18" s="47">
        <v>0</v>
      </c>
    </row>
    <row r="19" spans="2:5" ht="12.75">
      <c r="B19" s="15"/>
      <c r="C19" s="20">
        <v>750</v>
      </c>
      <c r="D19" s="20">
        <v>675</v>
      </c>
      <c r="E19" s="21">
        <f>D19-C19</f>
        <v>-75</v>
      </c>
    </row>
    <row r="20" spans="3:5" ht="12.75">
      <c r="C20" s="20">
        <v>432</v>
      </c>
      <c r="D20" s="20">
        <v>0</v>
      </c>
      <c r="E20" s="21">
        <f aca="true" t="shared" si="0" ref="E20:E25">D20-C20</f>
        <v>-432</v>
      </c>
    </row>
    <row r="21" spans="3:5" ht="12.75">
      <c r="C21" s="20">
        <v>0</v>
      </c>
      <c r="D21" s="20">
        <v>0</v>
      </c>
      <c r="E21" s="21">
        <f t="shared" si="0"/>
        <v>0</v>
      </c>
    </row>
    <row r="22" spans="3:5" ht="12.75">
      <c r="C22" s="20">
        <v>360</v>
      </c>
      <c r="D22" s="20">
        <v>216</v>
      </c>
      <c r="E22" s="21">
        <f t="shared" si="0"/>
        <v>-144</v>
      </c>
    </row>
    <row r="23" spans="3:5" ht="12.75">
      <c r="C23" s="20">
        <v>0</v>
      </c>
      <c r="D23" s="20">
        <v>0</v>
      </c>
      <c r="E23" s="21">
        <f t="shared" si="0"/>
        <v>0</v>
      </c>
    </row>
    <row r="24" spans="3:5" ht="12.75">
      <c r="C24" s="20">
        <v>210</v>
      </c>
      <c r="D24" s="20">
        <v>326</v>
      </c>
      <c r="E24" s="21">
        <f t="shared" si="0"/>
        <v>116</v>
      </c>
    </row>
    <row r="25" spans="3:5" ht="12.75">
      <c r="C25" s="20">
        <v>0</v>
      </c>
      <c r="D25" s="20">
        <v>0</v>
      </c>
      <c r="E25" s="21">
        <f t="shared" si="0"/>
        <v>0</v>
      </c>
    </row>
    <row r="27" spans="2:4" s="36" customFormat="1" ht="12.75">
      <c r="B27" s="36">
        <v>100</v>
      </c>
      <c r="C27" s="75">
        <v>2020</v>
      </c>
      <c r="D27" s="75">
        <v>2021</v>
      </c>
    </row>
    <row r="28" spans="3:5" ht="12.75">
      <c r="C28" s="25">
        <v>131629.8</v>
      </c>
      <c r="D28" s="25">
        <v>138749.6</v>
      </c>
      <c r="E28" s="21">
        <f>D28-C28</f>
        <v>7119.8000000000175</v>
      </c>
    </row>
    <row r="29" spans="3:5" ht="12.75">
      <c r="C29" s="25">
        <v>13160.9</v>
      </c>
      <c r="D29" s="25">
        <v>9596.2</v>
      </c>
      <c r="E29" s="21">
        <f aca="true" t="shared" si="1" ref="E29:E36">D29-C29</f>
        <v>-3564.699999999999</v>
      </c>
    </row>
    <row r="30" spans="3:5" ht="12.75">
      <c r="C30" s="25">
        <v>7635</v>
      </c>
      <c r="D30" s="25">
        <v>7333.1</v>
      </c>
      <c r="E30" s="21">
        <f t="shared" si="1"/>
        <v>-301.89999999999964</v>
      </c>
    </row>
    <row r="31" spans="3:5" ht="12.75">
      <c r="C31" s="25">
        <v>28057.1</v>
      </c>
      <c r="D31" s="25">
        <v>30379.7</v>
      </c>
      <c r="E31" s="21">
        <f t="shared" si="1"/>
        <v>2322.600000000002</v>
      </c>
    </row>
    <row r="32" spans="3:5" ht="12.75">
      <c r="C32" s="25">
        <v>5835.7</v>
      </c>
      <c r="D32" s="25">
        <v>5898.6</v>
      </c>
      <c r="E32" s="21">
        <f t="shared" si="1"/>
        <v>62.900000000000546</v>
      </c>
    </row>
    <row r="33" spans="3:5" ht="12.75">
      <c r="C33" s="25">
        <v>18365.2</v>
      </c>
      <c r="D33" s="25">
        <v>21443.7</v>
      </c>
      <c r="E33" s="21">
        <f t="shared" si="1"/>
        <v>3078.5</v>
      </c>
    </row>
    <row r="34" spans="3:5" ht="12.75">
      <c r="C34" s="25">
        <v>9665.6</v>
      </c>
      <c r="D34" s="25">
        <v>9166.4</v>
      </c>
      <c r="E34" s="21">
        <f t="shared" si="1"/>
        <v>-499.2000000000007</v>
      </c>
    </row>
    <row r="35" spans="3:5" ht="12.75">
      <c r="C35" s="25">
        <v>8124.4</v>
      </c>
      <c r="D35" s="25">
        <v>7665.9</v>
      </c>
      <c r="E35" s="21">
        <f t="shared" si="1"/>
        <v>-458.5</v>
      </c>
    </row>
    <row r="36" spans="3:5" ht="12.75">
      <c r="C36" s="25">
        <v>10904.5</v>
      </c>
      <c r="D36" s="25">
        <v>10233.7</v>
      </c>
      <c r="E36" s="21">
        <f t="shared" si="1"/>
        <v>-670.7999999999993</v>
      </c>
    </row>
    <row r="37" spans="3:4" ht="12.75">
      <c r="C37" s="21">
        <f>SUM(C28:C36)</f>
        <v>233378.2</v>
      </c>
      <c r="D37" s="21">
        <f>SUM(D28:D36)</f>
        <v>240466.90000000005</v>
      </c>
    </row>
    <row r="38" spans="2:4" s="36" customFormat="1" ht="12.75">
      <c r="B38" s="36" t="s">
        <v>120</v>
      </c>
      <c r="C38" s="80">
        <v>2020</v>
      </c>
      <c r="D38" s="80">
        <v>2021</v>
      </c>
    </row>
    <row r="39" spans="3:5" ht="12.75">
      <c r="C39">
        <f>37125.9</f>
        <v>37125.9</v>
      </c>
      <c r="D39" s="21">
        <v>40828.9</v>
      </c>
      <c r="E39">
        <f>D39-C39</f>
        <v>3703</v>
      </c>
    </row>
    <row r="40" spans="3:5" ht="12.75">
      <c r="C40" s="21">
        <v>2258.2</v>
      </c>
      <c r="D40">
        <f>3881.5+220.2</f>
        <v>4101.7</v>
      </c>
      <c r="E40">
        <f aca="true" t="shared" si="2" ref="E40:E47">D40-C40</f>
        <v>1843.5</v>
      </c>
    </row>
    <row r="41" spans="3:5" ht="12.75">
      <c r="C41" s="21">
        <v>3703</v>
      </c>
      <c r="D41">
        <f>3597.7+531.1</f>
        <v>4128.8</v>
      </c>
      <c r="E41">
        <f t="shared" si="2"/>
        <v>425.8000000000002</v>
      </c>
    </row>
    <row r="42" spans="3:5" ht="12.75">
      <c r="C42" s="21">
        <v>514.8</v>
      </c>
      <c r="D42">
        <f>587</f>
        <v>587</v>
      </c>
      <c r="E42">
        <f t="shared" si="2"/>
        <v>72.20000000000005</v>
      </c>
    </row>
    <row r="43" spans="3:5" ht="12.75">
      <c r="C43" s="21">
        <v>2608.6</v>
      </c>
      <c r="D43">
        <f>2614.6</f>
        <v>2614.6</v>
      </c>
      <c r="E43">
        <f t="shared" si="2"/>
        <v>6</v>
      </c>
    </row>
    <row r="44" spans="3:5" ht="12.75">
      <c r="C44" s="21">
        <v>7523.8</v>
      </c>
      <c r="D44">
        <f>7321</f>
        <v>7321</v>
      </c>
      <c r="E44">
        <f t="shared" si="2"/>
        <v>-202.80000000000018</v>
      </c>
    </row>
    <row r="45" spans="3:5" ht="12.75">
      <c r="C45" s="21">
        <v>566.5</v>
      </c>
      <c r="D45">
        <f>1242.1+468.9</f>
        <v>1711</v>
      </c>
      <c r="E45">
        <f t="shared" si="2"/>
        <v>1144.5</v>
      </c>
    </row>
    <row r="46" spans="3:5" ht="12.75">
      <c r="C46" s="21">
        <v>2726.4</v>
      </c>
      <c r="D46">
        <f>2676.7+1279.8</f>
        <v>3956.5</v>
      </c>
      <c r="E46">
        <f t="shared" si="2"/>
        <v>1230.1</v>
      </c>
    </row>
    <row r="47" spans="3:5" ht="12.75">
      <c r="C47" s="21">
        <v>3848.2</v>
      </c>
      <c r="D47">
        <f>3629.2</f>
        <v>3629.2</v>
      </c>
      <c r="E47">
        <f t="shared" si="2"/>
        <v>-219</v>
      </c>
    </row>
    <row r="48" spans="3:4" s="36" customFormat="1" ht="12.75">
      <c r="C48" s="36">
        <f>SUM(C39:C47)</f>
        <v>60875.4</v>
      </c>
      <c r="D48" s="80">
        <f>SUM(D39:D47)</f>
        <v>68878.7</v>
      </c>
    </row>
  </sheetData>
  <sheetProtection/>
  <mergeCells count="2">
    <mergeCell ref="C4:D4"/>
    <mergeCell ref="B2:G2"/>
  </mergeCells>
  <printOptions/>
  <pageMargins left="0.75" right="0.75" top="1" bottom="1" header="0.5" footer="0.5"/>
  <pageSetup fitToHeight="1" fitToWidth="1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7"/>
  <sheetViews>
    <sheetView zoomScalePageLayoutView="0" workbookViewId="0" topLeftCell="A1">
      <selection activeCell="C18" sqref="C18"/>
    </sheetView>
  </sheetViews>
  <sheetFormatPr defaultColWidth="9.140625" defaultRowHeight="12.75"/>
  <cols>
    <col min="2" max="2" width="20.140625" style="0" bestFit="1" customWidth="1"/>
    <col min="3" max="3" width="45.7109375" style="0" customWidth="1"/>
  </cols>
  <sheetData>
    <row r="2" spans="2:3" ht="30.75" customHeight="1">
      <c r="B2" s="85" t="s">
        <v>107</v>
      </c>
      <c r="C2" s="86"/>
    </row>
    <row r="3" ht="13.5" thickBot="1"/>
    <row r="4" spans="2:3" ht="13.5" thickBot="1">
      <c r="B4" s="2" t="s">
        <v>9</v>
      </c>
      <c r="C4" s="61" t="s">
        <v>108</v>
      </c>
    </row>
    <row r="6" spans="2:3" ht="203.25" customHeight="1">
      <c r="B6" s="3" t="s">
        <v>10</v>
      </c>
      <c r="C6" s="57" t="s">
        <v>109</v>
      </c>
    </row>
    <row r="7" spans="2:3" ht="12.75">
      <c r="B7" s="4" t="s">
        <v>0</v>
      </c>
      <c r="C7" s="10">
        <v>0</v>
      </c>
    </row>
    <row r="8" spans="2:3" ht="12.75">
      <c r="B8" s="4" t="s">
        <v>1</v>
      </c>
      <c r="C8" s="10">
        <v>0</v>
      </c>
    </row>
    <row r="9" spans="2:3" ht="12.75">
      <c r="B9" s="4" t="s">
        <v>2</v>
      </c>
      <c r="C9" s="10">
        <v>0</v>
      </c>
    </row>
    <row r="10" spans="2:3" ht="12.75">
      <c r="B10" s="4" t="s">
        <v>3</v>
      </c>
      <c r="C10" s="10">
        <v>0</v>
      </c>
    </row>
    <row r="11" spans="2:3" ht="12.75">
      <c r="B11" s="4" t="s">
        <v>4</v>
      </c>
      <c r="C11" s="10">
        <v>0</v>
      </c>
    </row>
    <row r="12" spans="2:3" ht="12.75">
      <c r="B12" s="4" t="s">
        <v>5</v>
      </c>
      <c r="C12" s="10">
        <v>0</v>
      </c>
    </row>
    <row r="13" spans="2:3" ht="12.75">
      <c r="B13" s="4" t="s">
        <v>6</v>
      </c>
      <c r="C13" s="10">
        <v>0</v>
      </c>
    </row>
    <row r="14" spans="2:3" ht="12.75">
      <c r="B14" s="4" t="s">
        <v>7</v>
      </c>
      <c r="C14" s="10">
        <v>0</v>
      </c>
    </row>
    <row r="15" spans="2:3" ht="12.75">
      <c r="B15" s="4" t="s">
        <v>8</v>
      </c>
      <c r="C15" s="10">
        <v>0</v>
      </c>
    </row>
    <row r="16" ht="12.75">
      <c r="C16" s="71"/>
    </row>
    <row r="17" ht="12.75">
      <c r="B17" s="15"/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7"/>
  <sheetViews>
    <sheetView zoomScalePageLayoutView="0" workbookViewId="0" topLeftCell="C1">
      <selection activeCell="E22" sqref="E22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6" width="15.57421875" style="0" customWidth="1"/>
  </cols>
  <sheetData>
    <row r="2" spans="2:6" ht="46.5" customHeight="1">
      <c r="B2" s="85" t="s">
        <v>52</v>
      </c>
      <c r="C2" s="86"/>
      <c r="D2" s="86"/>
      <c r="E2" s="86"/>
      <c r="F2" s="86"/>
    </row>
    <row r="3" ht="13.5" thickBot="1"/>
    <row r="4" spans="2:6" ht="13.5" thickBot="1">
      <c r="B4" s="2" t="s">
        <v>9</v>
      </c>
      <c r="C4" s="87" t="s">
        <v>53</v>
      </c>
      <c r="D4" s="83"/>
      <c r="E4" s="84"/>
      <c r="F4" s="6"/>
    </row>
    <row r="6" spans="2:6" ht="75.75" customHeight="1">
      <c r="B6" s="3" t="s">
        <v>10</v>
      </c>
      <c r="C6" s="57" t="s">
        <v>54</v>
      </c>
      <c r="D6" s="57" t="s">
        <v>55</v>
      </c>
      <c r="E6" s="57" t="s">
        <v>56</v>
      </c>
      <c r="F6" s="57" t="s">
        <v>57</v>
      </c>
    </row>
    <row r="7" spans="2:6" ht="12.75">
      <c r="B7" s="4" t="s">
        <v>0</v>
      </c>
      <c r="C7" s="47">
        <v>0</v>
      </c>
      <c r="D7" s="31">
        <v>379523.3</v>
      </c>
      <c r="E7" s="31">
        <v>258643.1</v>
      </c>
      <c r="F7" s="31">
        <v>0</v>
      </c>
    </row>
    <row r="8" spans="2:6" ht="12.75">
      <c r="B8" s="4" t="s">
        <v>1</v>
      </c>
      <c r="C8" s="47">
        <v>0</v>
      </c>
      <c r="D8" s="7">
        <v>19697.1</v>
      </c>
      <c r="E8" s="7">
        <v>11596.7</v>
      </c>
      <c r="F8" s="7">
        <v>0</v>
      </c>
    </row>
    <row r="9" spans="2:6" ht="12.75">
      <c r="B9" s="4" t="s">
        <v>2</v>
      </c>
      <c r="C9" s="20">
        <v>675</v>
      </c>
      <c r="D9" s="7">
        <v>11751.5</v>
      </c>
      <c r="E9" s="7">
        <v>4575.3</v>
      </c>
      <c r="F9" s="7">
        <v>0</v>
      </c>
    </row>
    <row r="10" spans="2:6" ht="12.75">
      <c r="B10" s="4" t="s">
        <v>3</v>
      </c>
      <c r="C10" s="20">
        <v>0</v>
      </c>
      <c r="D10" s="7">
        <v>60960.9</v>
      </c>
      <c r="E10" s="7">
        <v>34157.5</v>
      </c>
      <c r="F10" s="7">
        <v>0</v>
      </c>
    </row>
    <row r="11" spans="2:6" ht="12.75">
      <c r="B11" s="4" t="s">
        <v>4</v>
      </c>
      <c r="C11" s="20">
        <v>0</v>
      </c>
      <c r="D11" s="7">
        <v>11327</v>
      </c>
      <c r="E11" s="7">
        <v>5771</v>
      </c>
      <c r="F11" s="7">
        <v>0</v>
      </c>
    </row>
    <row r="12" spans="2:6" ht="12.75">
      <c r="B12" s="4" t="s">
        <v>5</v>
      </c>
      <c r="C12" s="20">
        <v>216</v>
      </c>
      <c r="D12" s="7">
        <v>38878.8</v>
      </c>
      <c r="E12" s="7">
        <v>18677.5</v>
      </c>
      <c r="F12" s="7">
        <v>0</v>
      </c>
    </row>
    <row r="13" spans="2:6" ht="12.75">
      <c r="B13" s="4" t="s">
        <v>6</v>
      </c>
      <c r="C13" s="20">
        <v>0</v>
      </c>
      <c r="D13" s="7">
        <v>14255</v>
      </c>
      <c r="E13" s="7">
        <v>5229.7</v>
      </c>
      <c r="F13" s="7">
        <v>0</v>
      </c>
    </row>
    <row r="14" spans="2:6" ht="12.75">
      <c r="B14" s="4" t="s">
        <v>7</v>
      </c>
      <c r="C14" s="20">
        <v>326</v>
      </c>
      <c r="D14" s="7">
        <v>15366.9</v>
      </c>
      <c r="E14" s="7">
        <v>7755.9</v>
      </c>
      <c r="F14" s="7">
        <v>0</v>
      </c>
    </row>
    <row r="15" spans="2:6" ht="12.75">
      <c r="B15" s="4" t="s">
        <v>8</v>
      </c>
      <c r="C15" s="20">
        <v>0</v>
      </c>
      <c r="D15" s="7">
        <v>22473.4</v>
      </c>
      <c r="E15" s="7">
        <v>12532</v>
      </c>
      <c r="F15" s="7">
        <v>0</v>
      </c>
    </row>
    <row r="16" spans="3:6" ht="12.75">
      <c r="C16" s="21"/>
      <c r="D16" s="21"/>
      <c r="E16" s="21"/>
      <c r="F16" s="21"/>
    </row>
    <row r="17" ht="12.75">
      <c r="B17" s="15"/>
    </row>
  </sheetData>
  <sheetProtection/>
  <mergeCells count="2">
    <mergeCell ref="C4:E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5"/>
  <sheetViews>
    <sheetView zoomScalePageLayoutView="0" workbookViewId="0" topLeftCell="D1">
      <selection activeCell="F23" sqref="F23"/>
    </sheetView>
  </sheetViews>
  <sheetFormatPr defaultColWidth="9.140625" defaultRowHeight="12.75"/>
  <cols>
    <col min="2" max="2" width="20.140625" style="0" bestFit="1" customWidth="1"/>
    <col min="3" max="3" width="28.140625" style="0" bestFit="1" customWidth="1"/>
    <col min="4" max="4" width="26.8515625" style="0" customWidth="1"/>
    <col min="5" max="5" width="25.57421875" style="0" customWidth="1"/>
    <col min="6" max="6" width="15.421875" style="0" customWidth="1"/>
  </cols>
  <sheetData>
    <row r="2" spans="2:6" ht="27.75" customHeight="1">
      <c r="B2" s="85" t="s">
        <v>22</v>
      </c>
      <c r="C2" s="86"/>
      <c r="D2" s="86"/>
      <c r="E2" s="86"/>
      <c r="F2" s="86"/>
    </row>
    <row r="3" ht="13.5" thickBot="1"/>
    <row r="4" spans="2:5" ht="13.5" thickBot="1">
      <c r="B4" s="2" t="s">
        <v>9</v>
      </c>
      <c r="C4" s="5" t="s">
        <v>23</v>
      </c>
      <c r="D4" s="6"/>
      <c r="E4" s="6"/>
    </row>
    <row r="6" spans="2:6" ht="87" customHeight="1">
      <c r="B6" s="3" t="s">
        <v>10</v>
      </c>
      <c r="C6" s="57" t="s">
        <v>121</v>
      </c>
      <c r="D6" s="57" t="s">
        <v>122</v>
      </c>
      <c r="E6" s="3" t="s">
        <v>24</v>
      </c>
      <c r="F6" s="3" t="s">
        <v>25</v>
      </c>
    </row>
    <row r="7" spans="2:6" ht="12.75">
      <c r="B7" s="4" t="s">
        <v>0</v>
      </c>
      <c r="C7" s="27">
        <v>44312</v>
      </c>
      <c r="D7" s="27">
        <v>44525</v>
      </c>
      <c r="E7" s="51" t="s">
        <v>135</v>
      </c>
      <c r="F7" s="1" t="s">
        <v>37</v>
      </c>
    </row>
    <row r="8" spans="2:6" ht="12.75">
      <c r="B8" s="4" t="s">
        <v>1</v>
      </c>
      <c r="C8" s="27">
        <v>44306</v>
      </c>
      <c r="D8" s="27">
        <v>44518</v>
      </c>
      <c r="E8" s="51" t="s">
        <v>127</v>
      </c>
      <c r="F8" s="1" t="s">
        <v>37</v>
      </c>
    </row>
    <row r="9" spans="2:6" ht="12.75">
      <c r="B9" s="4" t="s">
        <v>2</v>
      </c>
      <c r="C9" s="27">
        <v>44314</v>
      </c>
      <c r="D9" s="27">
        <v>44525</v>
      </c>
      <c r="E9" s="51" t="s">
        <v>128</v>
      </c>
      <c r="F9" s="1" t="s">
        <v>37</v>
      </c>
    </row>
    <row r="10" spans="2:6" ht="12.75">
      <c r="B10" s="28" t="s">
        <v>3</v>
      </c>
      <c r="C10" s="58" t="s">
        <v>142</v>
      </c>
      <c r="D10" s="58" t="s">
        <v>142</v>
      </c>
      <c r="E10" s="51" t="s">
        <v>129</v>
      </c>
      <c r="F10" s="51" t="s">
        <v>38</v>
      </c>
    </row>
    <row r="11" spans="2:6" ht="12.75">
      <c r="B11" s="28" t="s">
        <v>4</v>
      </c>
      <c r="C11" s="29">
        <v>44301</v>
      </c>
      <c r="D11" s="30">
        <v>44522</v>
      </c>
      <c r="E11" s="59" t="s">
        <v>130</v>
      </c>
      <c r="F11" s="1" t="s">
        <v>37</v>
      </c>
    </row>
    <row r="12" spans="2:6" ht="12.75">
      <c r="B12" s="28" t="s">
        <v>5</v>
      </c>
      <c r="C12" s="43">
        <v>44314</v>
      </c>
      <c r="D12" s="43">
        <v>44518</v>
      </c>
      <c r="E12" s="51" t="s">
        <v>131</v>
      </c>
      <c r="F12" s="1" t="s">
        <v>37</v>
      </c>
    </row>
    <row r="13" spans="2:6" ht="12.75">
      <c r="B13" s="28" t="s">
        <v>6</v>
      </c>
      <c r="C13" s="27">
        <v>44314</v>
      </c>
      <c r="D13" s="27">
        <v>44518</v>
      </c>
      <c r="E13" s="51" t="s">
        <v>132</v>
      </c>
      <c r="F13" s="1" t="s">
        <v>37</v>
      </c>
    </row>
    <row r="14" spans="2:6" ht="12.75">
      <c r="B14" s="4" t="s">
        <v>7</v>
      </c>
      <c r="C14" s="27">
        <v>44314</v>
      </c>
      <c r="D14" s="43">
        <v>44519</v>
      </c>
      <c r="E14" s="51" t="s">
        <v>133</v>
      </c>
      <c r="F14" s="1" t="s">
        <v>37</v>
      </c>
    </row>
    <row r="15" spans="2:6" ht="12.75">
      <c r="B15" s="4" t="s">
        <v>8</v>
      </c>
      <c r="C15" s="27">
        <v>44314</v>
      </c>
      <c r="D15" s="27">
        <v>44518</v>
      </c>
      <c r="E15" s="51" t="s">
        <v>134</v>
      </c>
      <c r="F15" s="1" t="s">
        <v>37</v>
      </c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5"/>
  <sheetViews>
    <sheetView zoomScalePageLayoutView="0" workbookViewId="0" topLeftCell="C1">
      <selection activeCell="E23" sqref="E23"/>
    </sheetView>
  </sheetViews>
  <sheetFormatPr defaultColWidth="9.140625" defaultRowHeight="12.75"/>
  <cols>
    <col min="2" max="2" width="20.140625" style="0" bestFit="1" customWidth="1"/>
    <col min="3" max="4" width="28.140625" style="0" bestFit="1" customWidth="1"/>
    <col min="5" max="5" width="15.421875" style="0" customWidth="1"/>
  </cols>
  <sheetData>
    <row r="2" spans="2:5" ht="27.75" customHeight="1">
      <c r="B2" s="85" t="s">
        <v>39</v>
      </c>
      <c r="C2" s="86"/>
      <c r="D2" s="86"/>
      <c r="E2" s="86"/>
    </row>
    <row r="3" ht="13.5" thickBot="1"/>
    <row r="4" spans="2:4" ht="13.5" thickBot="1">
      <c r="B4" s="2" t="s">
        <v>9</v>
      </c>
      <c r="C4" s="5" t="s">
        <v>23</v>
      </c>
      <c r="D4" s="6"/>
    </row>
    <row r="6" spans="2:5" ht="87" customHeight="1">
      <c r="B6" s="3" t="s">
        <v>10</v>
      </c>
      <c r="C6" s="57" t="s">
        <v>41</v>
      </c>
      <c r="D6" s="57" t="s">
        <v>40</v>
      </c>
      <c r="E6" s="3" t="s">
        <v>25</v>
      </c>
    </row>
    <row r="7" spans="2:5" ht="12.75">
      <c r="B7" s="4" t="s">
        <v>0</v>
      </c>
      <c r="C7" s="58" t="s">
        <v>123</v>
      </c>
      <c r="D7" s="51" t="s">
        <v>123</v>
      </c>
      <c r="E7" s="51" t="s">
        <v>38</v>
      </c>
    </row>
    <row r="8" spans="2:5" ht="12.75">
      <c r="B8" s="4" t="s">
        <v>1</v>
      </c>
      <c r="C8" s="58" t="s">
        <v>123</v>
      </c>
      <c r="D8" s="51" t="s">
        <v>123</v>
      </c>
      <c r="E8" s="51" t="s">
        <v>38</v>
      </c>
    </row>
    <row r="9" spans="2:5" ht="12.75">
      <c r="B9" s="4" t="s">
        <v>2</v>
      </c>
      <c r="C9" s="58" t="s">
        <v>123</v>
      </c>
      <c r="D9" s="51" t="s">
        <v>123</v>
      </c>
      <c r="E9" s="51" t="s">
        <v>38</v>
      </c>
    </row>
    <row r="10" spans="2:5" ht="12.75">
      <c r="B10" s="28" t="s">
        <v>3</v>
      </c>
      <c r="C10" s="58" t="s">
        <v>142</v>
      </c>
      <c r="D10" s="58" t="s">
        <v>142</v>
      </c>
      <c r="E10" s="51" t="s">
        <v>38</v>
      </c>
    </row>
    <row r="11" spans="2:5" ht="12.75">
      <c r="B11" s="28" t="s">
        <v>4</v>
      </c>
      <c r="C11" s="58" t="s">
        <v>123</v>
      </c>
      <c r="D11" s="51" t="s">
        <v>123</v>
      </c>
      <c r="E11" s="51" t="s">
        <v>38</v>
      </c>
    </row>
    <row r="12" spans="2:5" ht="12.75">
      <c r="B12" s="28" t="s">
        <v>5</v>
      </c>
      <c r="C12" s="60" t="s">
        <v>145</v>
      </c>
      <c r="D12" s="51" t="s">
        <v>146</v>
      </c>
      <c r="E12" s="1" t="s">
        <v>37</v>
      </c>
    </row>
    <row r="13" spans="2:5" ht="12.75">
      <c r="B13" s="28" t="s">
        <v>6</v>
      </c>
      <c r="C13" s="58" t="s">
        <v>145</v>
      </c>
      <c r="D13" s="51" t="s">
        <v>151</v>
      </c>
      <c r="E13" s="1" t="s">
        <v>37</v>
      </c>
    </row>
    <row r="14" spans="2:5" ht="12.75">
      <c r="B14" s="4" t="s">
        <v>7</v>
      </c>
      <c r="C14" s="58" t="s">
        <v>123</v>
      </c>
      <c r="D14" s="51" t="s">
        <v>123</v>
      </c>
      <c r="E14" s="51" t="s">
        <v>38</v>
      </c>
    </row>
    <row r="15" spans="2:5" ht="12.75">
      <c r="B15" s="4" t="s">
        <v>8</v>
      </c>
      <c r="C15" s="58" t="s">
        <v>145</v>
      </c>
      <c r="D15" s="51" t="s">
        <v>155</v>
      </c>
      <c r="E15" s="1" t="s">
        <v>37</v>
      </c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8"/>
  <sheetViews>
    <sheetView zoomScalePageLayoutView="0" workbookViewId="0" topLeftCell="A4">
      <selection activeCell="D11" sqref="D11"/>
    </sheetView>
  </sheetViews>
  <sheetFormatPr defaultColWidth="9.140625" defaultRowHeight="12.75"/>
  <cols>
    <col min="2" max="2" width="20.140625" style="0" bestFit="1" customWidth="1"/>
    <col min="3" max="3" width="51.421875" style="0" customWidth="1"/>
    <col min="4" max="4" width="15.140625" style="0" customWidth="1"/>
    <col min="5" max="5" width="21.28125" style="0" customWidth="1"/>
  </cols>
  <sheetData>
    <row r="2" spans="2:4" ht="27.75" customHeight="1">
      <c r="B2" s="85" t="s">
        <v>114</v>
      </c>
      <c r="C2" s="86"/>
      <c r="D2" s="86"/>
    </row>
    <row r="3" ht="13.5" thickBot="1"/>
    <row r="4" spans="2:3" ht="13.5" thickBot="1">
      <c r="B4" s="2" t="s">
        <v>9</v>
      </c>
      <c r="C4" s="5" t="s">
        <v>23</v>
      </c>
    </row>
    <row r="6" spans="2:4" ht="56.25" customHeight="1">
      <c r="B6" s="3" t="s">
        <v>10</v>
      </c>
      <c r="C6" s="3" t="s">
        <v>33</v>
      </c>
      <c r="D6" s="3" t="s">
        <v>25</v>
      </c>
    </row>
    <row r="7" spans="2:4" ht="25.5">
      <c r="B7" s="4" t="s">
        <v>0</v>
      </c>
      <c r="C7" s="33" t="s">
        <v>124</v>
      </c>
      <c r="D7" s="53" t="s">
        <v>37</v>
      </c>
    </row>
    <row r="8" spans="2:4" ht="115.5" customHeight="1">
      <c r="B8" s="4" t="s">
        <v>1</v>
      </c>
      <c r="C8" s="54" t="s">
        <v>137</v>
      </c>
      <c r="D8" s="53" t="s">
        <v>37</v>
      </c>
    </row>
    <row r="9" spans="2:4" ht="52.5" customHeight="1">
      <c r="B9" s="4" t="s">
        <v>2</v>
      </c>
      <c r="C9" s="33" t="s">
        <v>140</v>
      </c>
      <c r="D9" s="53" t="s">
        <v>37</v>
      </c>
    </row>
    <row r="10" spans="2:4" ht="12.75">
      <c r="B10" s="4" t="s">
        <v>3</v>
      </c>
      <c r="C10" s="58" t="s">
        <v>142</v>
      </c>
      <c r="D10" s="55" t="s">
        <v>38</v>
      </c>
    </row>
    <row r="11" spans="2:4" ht="216.75">
      <c r="B11" s="4" t="s">
        <v>4</v>
      </c>
      <c r="C11" s="50" t="s">
        <v>148</v>
      </c>
      <c r="D11" s="53" t="s">
        <v>37</v>
      </c>
    </row>
    <row r="12" spans="2:4" ht="140.25">
      <c r="B12" s="4" t="s">
        <v>5</v>
      </c>
      <c r="C12" s="52" t="s">
        <v>149</v>
      </c>
      <c r="D12" s="53" t="s">
        <v>38</v>
      </c>
    </row>
    <row r="13" spans="2:4" ht="38.25">
      <c r="B13" s="4" t="s">
        <v>6</v>
      </c>
      <c r="C13" s="44" t="s">
        <v>153</v>
      </c>
      <c r="D13" s="53" t="s">
        <v>38</v>
      </c>
    </row>
    <row r="14" spans="2:5" ht="12.75">
      <c r="B14" s="4" t="s">
        <v>7</v>
      </c>
      <c r="C14" s="52" t="s">
        <v>152</v>
      </c>
      <c r="D14" s="53" t="s">
        <v>38</v>
      </c>
      <c r="E14" s="46"/>
    </row>
    <row r="15" spans="2:4" ht="130.5" customHeight="1">
      <c r="B15" s="4" t="s">
        <v>8</v>
      </c>
      <c r="C15" s="52" t="s">
        <v>157</v>
      </c>
      <c r="D15" s="53" t="s">
        <v>38</v>
      </c>
    </row>
    <row r="18" ht="12.75">
      <c r="B18" s="14"/>
    </row>
  </sheetData>
  <sheetProtection/>
  <mergeCells count="1">
    <mergeCell ref="B2:D2"/>
  </mergeCells>
  <hyperlinks>
    <hyperlink ref="C7" r:id="rId1" display="https://prim-ahtarsk.ru/administratsiya-goroda/ekonomika-i-biznes/byudzhet/aktualnaya-versiya/"/>
    <hyperlink ref="C9" r:id="rId2" display="https://borodinskoe-sp.ru/economy/budget/#mo-element-region-svedeniya-o-hode-ispolneniya;https://borodinskoe-sp.ru/inova_block_documentset/document/346043/"/>
    <hyperlink ref="C13" r:id="rId3" display="http://priazovskoe.ru/economy/budget/#mo-element-region-normativnyie-aktyi; по указанной ссылке годовой отчет об исполнении бюджета не найден"/>
  </hyperlinks>
  <printOptions/>
  <pageMargins left="0.75" right="0.75" top="1" bottom="1" header="0.5" footer="0.5"/>
  <pageSetup fitToHeight="1" fitToWidth="1" horizontalDpi="600" verticalDpi="600" orientation="landscape" paperSize="9" scale="53" r:id="rId4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5"/>
  <sheetViews>
    <sheetView zoomScalePageLayoutView="0" workbookViewId="0" topLeftCell="A1">
      <selection activeCell="C35" sqref="C35"/>
    </sheetView>
  </sheetViews>
  <sheetFormatPr defaultColWidth="9.140625" defaultRowHeight="12.75"/>
  <cols>
    <col min="2" max="2" width="20.140625" style="0" bestFit="1" customWidth="1"/>
    <col min="3" max="3" width="50.8515625" style="0" customWidth="1"/>
    <col min="4" max="4" width="15.140625" style="0" customWidth="1"/>
    <col min="5" max="5" width="18.7109375" style="0" customWidth="1"/>
  </cols>
  <sheetData>
    <row r="2" spans="2:4" ht="27.75" customHeight="1">
      <c r="B2" s="85" t="s">
        <v>30</v>
      </c>
      <c r="C2" s="86"/>
      <c r="D2" s="86"/>
    </row>
    <row r="3" ht="13.5" thickBot="1"/>
    <row r="4" spans="2:3" ht="13.5" thickBot="1">
      <c r="B4" s="2" t="s">
        <v>9</v>
      </c>
      <c r="C4" s="5" t="s">
        <v>23</v>
      </c>
    </row>
    <row r="6" spans="2:4" ht="87" customHeight="1">
      <c r="B6" s="3" t="s">
        <v>10</v>
      </c>
      <c r="C6" s="3" t="s">
        <v>26</v>
      </c>
      <c r="D6" s="3" t="s">
        <v>25</v>
      </c>
    </row>
    <row r="7" spans="2:4" ht="63.75">
      <c r="B7" s="4" t="s">
        <v>0</v>
      </c>
      <c r="C7" s="44" t="s">
        <v>125</v>
      </c>
      <c r="D7" s="51" t="s">
        <v>37</v>
      </c>
    </row>
    <row r="8" spans="2:5" s="35" customFormat="1" ht="102">
      <c r="B8" s="28" t="s">
        <v>1</v>
      </c>
      <c r="C8" s="50" t="s">
        <v>136</v>
      </c>
      <c r="D8" s="51" t="s">
        <v>37</v>
      </c>
      <c r="E8"/>
    </row>
    <row r="9" spans="2:4" ht="25.5">
      <c r="B9" s="4" t="s">
        <v>2</v>
      </c>
      <c r="C9" s="44" t="s">
        <v>139</v>
      </c>
      <c r="D9" s="51" t="s">
        <v>37</v>
      </c>
    </row>
    <row r="10" spans="2:4" ht="18.75" customHeight="1">
      <c r="B10" s="4" t="s">
        <v>3</v>
      </c>
      <c r="C10" s="58" t="s">
        <v>142</v>
      </c>
      <c r="D10" s="51" t="s">
        <v>38</v>
      </c>
    </row>
    <row r="11" spans="2:4" ht="114.75">
      <c r="B11" s="4" t="s">
        <v>4</v>
      </c>
      <c r="C11" s="50" t="s">
        <v>143</v>
      </c>
      <c r="D11" s="51" t="s">
        <v>37</v>
      </c>
    </row>
    <row r="12" spans="2:4" ht="25.5">
      <c r="B12" s="4" t="s">
        <v>5</v>
      </c>
      <c r="C12" s="50" t="s">
        <v>147</v>
      </c>
      <c r="D12" s="51" t="s">
        <v>37</v>
      </c>
    </row>
    <row r="13" spans="2:4" ht="12.75">
      <c r="B13" s="4" t="s">
        <v>6</v>
      </c>
      <c r="C13" s="50" t="s">
        <v>152</v>
      </c>
      <c r="D13" s="51" t="s">
        <v>38</v>
      </c>
    </row>
    <row r="14" spans="2:5" ht="12.75">
      <c r="B14" s="4" t="s">
        <v>7</v>
      </c>
      <c r="C14" s="50" t="s">
        <v>152</v>
      </c>
      <c r="D14" s="51" t="s">
        <v>38</v>
      </c>
      <c r="E14" s="34"/>
    </row>
    <row r="15" spans="2:4" ht="76.5">
      <c r="B15" s="4" t="s">
        <v>8</v>
      </c>
      <c r="C15" s="44" t="s">
        <v>156</v>
      </c>
      <c r="D15" s="51" t="s">
        <v>37</v>
      </c>
    </row>
  </sheetData>
  <sheetProtection/>
  <mergeCells count="1">
    <mergeCell ref="B2:D2"/>
  </mergeCells>
  <hyperlinks>
    <hyperlink ref="C7" r:id="rId1" display="https://prim-ahtarsk.ru/administratsiya-goroda/ekonomika-i-biznes/byudzhet/otchety-ob-ispolnenii-byudzheta-primorsko-akhtarskogo-gorodskogo-poseleniya/2021-god-budget/;https://prim-ahtarsk.ru/administratsiya-goroda/pravotvorchestvo/sovet/?PAGEN_1=7"/>
    <hyperlink ref="C9" r:id="rId2" display="https://borodinskoe-sp.ru/inova_block_documentset/document/333581/"/>
    <hyperlink ref="C15" r:id="rId3" display="http://stepnogo-sp.ru/%D0%B0%D0%B4%D0%BC%D0%B8%D0%BD%D0%B8%D1%81%D1%82%D1%80%D0%B0%D1%86%D0%B8%D1%8F/%D1%8D%D0%BA%D0%BE%D0%BD%D0%BE%D0%BC%D0%B8%D0%BA%D0%B0/%D0%B1%D1%8E%D0%B4%D0%B6%D0%B5%D1%82.html"/>
  </hyperlinks>
  <printOptions/>
  <pageMargins left="0.75" right="0.75" top="1" bottom="1" header="0.5" footer="0.5"/>
  <pageSetup fitToHeight="1" fitToWidth="1" horizontalDpi="600" verticalDpi="600" orientation="landscape" paperSize="9" scale="85" r:id="rId4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8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20.140625" style="0" bestFit="1" customWidth="1"/>
    <col min="3" max="3" width="33.28125" style="0" bestFit="1" customWidth="1"/>
    <col min="4" max="4" width="26.00390625" style="0" customWidth="1"/>
    <col min="5" max="5" width="10.57421875" style="0" customWidth="1"/>
    <col min="6" max="6" width="10.28125" style="0" customWidth="1"/>
  </cols>
  <sheetData>
    <row r="2" spans="2:6" ht="48" customHeight="1">
      <c r="B2" s="85" t="s">
        <v>32</v>
      </c>
      <c r="C2" s="86"/>
      <c r="D2" s="86"/>
      <c r="E2" s="86"/>
      <c r="F2" s="88"/>
    </row>
    <row r="3" ht="13.5" thickBot="1"/>
    <row r="4" spans="2:4" ht="13.5" thickBot="1">
      <c r="B4" s="2" t="s">
        <v>9</v>
      </c>
      <c r="C4" s="83" t="s">
        <v>23</v>
      </c>
      <c r="D4" s="83"/>
    </row>
    <row r="5" spans="5:6" ht="12.75">
      <c r="E5" s="16"/>
      <c r="F5" s="16"/>
    </row>
    <row r="6" spans="2:6" ht="116.25" customHeight="1">
      <c r="B6" s="3" t="s">
        <v>10</v>
      </c>
      <c r="C6" s="3" t="s">
        <v>34</v>
      </c>
      <c r="D6" s="3" t="s">
        <v>25</v>
      </c>
      <c r="E6" s="39"/>
      <c r="F6" s="40"/>
    </row>
    <row r="7" spans="2:6" ht="12.75">
      <c r="B7" s="4" t="s">
        <v>0</v>
      </c>
      <c r="C7" s="56" t="s">
        <v>126</v>
      </c>
      <c r="D7" s="55" t="s">
        <v>38</v>
      </c>
      <c r="E7" s="41"/>
      <c r="F7" s="17"/>
    </row>
    <row r="8" spans="2:6" ht="25.5">
      <c r="B8" s="4" t="s">
        <v>1</v>
      </c>
      <c r="C8" s="56" t="s">
        <v>138</v>
      </c>
      <c r="D8" s="55" t="s">
        <v>38</v>
      </c>
      <c r="E8" s="41"/>
      <c r="F8" s="17"/>
    </row>
    <row r="9" spans="2:6" ht="25.5">
      <c r="B9" s="4" t="s">
        <v>2</v>
      </c>
      <c r="C9" s="48" t="s">
        <v>141</v>
      </c>
      <c r="D9" s="55" t="s">
        <v>37</v>
      </c>
      <c r="E9" s="45"/>
      <c r="F9" s="38"/>
    </row>
    <row r="10" spans="2:6" ht="12.75">
      <c r="B10" s="4" t="s">
        <v>3</v>
      </c>
      <c r="C10" s="58" t="s">
        <v>142</v>
      </c>
      <c r="D10" s="55" t="s">
        <v>38</v>
      </c>
      <c r="E10" s="45"/>
      <c r="F10" s="38"/>
    </row>
    <row r="11" spans="2:6" ht="191.25">
      <c r="B11" s="4" t="s">
        <v>4</v>
      </c>
      <c r="C11" s="82" t="s">
        <v>144</v>
      </c>
      <c r="D11" s="55" t="s">
        <v>37</v>
      </c>
      <c r="E11" s="37"/>
      <c r="F11" s="38"/>
    </row>
    <row r="12" spans="2:6" ht="38.25">
      <c r="B12" s="4" t="s">
        <v>5</v>
      </c>
      <c r="C12" s="81" t="s">
        <v>150</v>
      </c>
      <c r="D12" s="55" t="s">
        <v>38</v>
      </c>
      <c r="E12" s="37"/>
      <c r="F12" s="38"/>
    </row>
    <row r="13" spans="2:6" ht="42" customHeight="1">
      <c r="B13" s="4" t="s">
        <v>6</v>
      </c>
      <c r="C13" s="48" t="s">
        <v>154</v>
      </c>
      <c r="D13" s="55" t="s">
        <v>37</v>
      </c>
      <c r="E13" s="37"/>
      <c r="F13" s="38"/>
    </row>
    <row r="14" spans="2:6" ht="25.5">
      <c r="B14" s="4" t="s">
        <v>7</v>
      </c>
      <c r="C14" s="81" t="s">
        <v>152</v>
      </c>
      <c r="D14" s="55" t="s">
        <v>38</v>
      </c>
      <c r="E14" s="37"/>
      <c r="F14" s="38"/>
    </row>
    <row r="15" spans="2:6" ht="83.25" customHeight="1">
      <c r="B15" s="32" t="s">
        <v>8</v>
      </c>
      <c r="C15" s="52" t="s">
        <v>158</v>
      </c>
      <c r="D15" s="55" t="s">
        <v>38</v>
      </c>
      <c r="E15" s="37"/>
      <c r="F15" s="38"/>
    </row>
    <row r="16" spans="2:6" ht="12.75">
      <c r="B16" s="18"/>
      <c r="C16" s="42"/>
      <c r="D16" s="42"/>
      <c r="E16" s="19"/>
      <c r="F16" s="19"/>
    </row>
    <row r="17" spans="2:6" ht="12.75">
      <c r="B17" s="16"/>
      <c r="C17" s="16"/>
      <c r="D17" s="16"/>
      <c r="E17" s="19"/>
      <c r="F17" s="19"/>
    </row>
    <row r="18" spans="2:6" ht="12.75">
      <c r="B18" s="16"/>
      <c r="C18" s="16"/>
      <c r="D18" s="16"/>
      <c r="E18" s="19"/>
      <c r="F18" s="19"/>
    </row>
  </sheetData>
  <sheetProtection/>
  <mergeCells count="2">
    <mergeCell ref="C4:D4"/>
    <mergeCell ref="B2:F2"/>
  </mergeCells>
  <hyperlinks>
    <hyperlink ref="C9" r:id="rId1" display="https://borodinskoe-sp.ru/economy/budget/"/>
    <hyperlink ref="C13" r:id="rId2" display="http://priazovskoe.ru/economy/budget/#mo-element-region-normativnyie-aktyi"/>
  </hyperlinks>
  <printOptions/>
  <pageMargins left="0.75" right="0.75" top="1" bottom="1" header="0.5" footer="0.5"/>
  <pageSetup fitToHeight="1" fitToWidth="1" horizontalDpi="600" verticalDpi="600" orientation="landscape" paperSize="9" scale="94"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20.140625" style="0" bestFit="1" customWidth="1"/>
    <col min="3" max="3" width="25.7109375" style="0" customWidth="1"/>
  </cols>
  <sheetData>
    <row r="2" spans="2:3" ht="47.25" customHeight="1">
      <c r="B2" s="85" t="s">
        <v>42</v>
      </c>
      <c r="C2" s="86"/>
    </row>
    <row r="3" ht="13.5" thickBot="1"/>
    <row r="4" spans="2:3" ht="13.5" thickBot="1">
      <c r="B4" s="2" t="s">
        <v>9</v>
      </c>
      <c r="C4" s="5"/>
    </row>
    <row r="6" spans="2:3" ht="94.5" customHeight="1">
      <c r="B6" s="3" t="s">
        <v>10</v>
      </c>
      <c r="C6" s="57" t="s">
        <v>43</v>
      </c>
    </row>
    <row r="7" spans="2:3" ht="12.75">
      <c r="B7" s="4" t="s">
        <v>0</v>
      </c>
      <c r="C7" s="51" t="s">
        <v>37</v>
      </c>
    </row>
    <row r="8" spans="2:3" ht="12.75">
      <c r="B8" s="4" t="s">
        <v>1</v>
      </c>
      <c r="C8" s="51" t="s">
        <v>37</v>
      </c>
    </row>
    <row r="9" spans="2:3" ht="12.75">
      <c r="B9" s="4" t="s">
        <v>2</v>
      </c>
      <c r="C9" s="51" t="s">
        <v>37</v>
      </c>
    </row>
    <row r="10" spans="2:3" ht="12.75">
      <c r="B10" s="4" t="s">
        <v>3</v>
      </c>
      <c r="C10" s="51" t="s">
        <v>37</v>
      </c>
    </row>
    <row r="11" spans="2:3" ht="12.75">
      <c r="B11" s="4" t="s">
        <v>4</v>
      </c>
      <c r="C11" s="51" t="s">
        <v>37</v>
      </c>
    </row>
    <row r="12" spans="2:3" ht="12.75">
      <c r="B12" s="4" t="s">
        <v>5</v>
      </c>
      <c r="C12" s="51" t="s">
        <v>37</v>
      </c>
    </row>
    <row r="13" spans="2:3" ht="12.75">
      <c r="B13" s="4" t="s">
        <v>6</v>
      </c>
      <c r="C13" s="51" t="s">
        <v>37</v>
      </c>
    </row>
    <row r="14" spans="2:3" ht="12.75">
      <c r="B14" s="4" t="s">
        <v>7</v>
      </c>
      <c r="C14" s="51" t="s">
        <v>37</v>
      </c>
    </row>
    <row r="15" spans="2:3" ht="12.75">
      <c r="B15" s="4" t="s">
        <v>8</v>
      </c>
      <c r="C15" s="51" t="s">
        <v>37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5"/>
  <sheetViews>
    <sheetView tabSelected="1" zoomScalePageLayoutView="0" workbookViewId="0" topLeftCell="A1">
      <selection activeCell="G16" sqref="G16"/>
    </sheetView>
  </sheetViews>
  <sheetFormatPr defaultColWidth="9.140625" defaultRowHeight="12.75"/>
  <cols>
    <col min="2" max="2" width="20.140625" style="0" bestFit="1" customWidth="1"/>
    <col min="3" max="3" width="25.7109375" style="0" customWidth="1"/>
  </cols>
  <sheetData>
    <row r="2" spans="2:3" ht="47.25" customHeight="1">
      <c r="B2" s="85" t="s">
        <v>110</v>
      </c>
      <c r="C2" s="86"/>
    </row>
    <row r="3" ht="13.5" thickBot="1"/>
    <row r="4" spans="2:3" ht="13.5" thickBot="1">
      <c r="B4" s="2" t="s">
        <v>9</v>
      </c>
      <c r="C4" s="5"/>
    </row>
    <row r="6" spans="2:3" ht="94.5" customHeight="1">
      <c r="B6" s="3" t="s">
        <v>10</v>
      </c>
      <c r="C6" s="57" t="s">
        <v>43</v>
      </c>
    </row>
    <row r="7" spans="2:3" ht="12.75">
      <c r="B7" s="4" t="s">
        <v>0</v>
      </c>
      <c r="C7" s="51" t="s">
        <v>37</v>
      </c>
    </row>
    <row r="8" spans="2:3" ht="12.75">
      <c r="B8" s="4" t="s">
        <v>1</v>
      </c>
      <c r="C8" s="51" t="s">
        <v>38</v>
      </c>
    </row>
    <row r="9" spans="2:3" ht="12.75">
      <c r="B9" s="4" t="s">
        <v>2</v>
      </c>
      <c r="C9" s="51" t="s">
        <v>38</v>
      </c>
    </row>
    <row r="10" spans="2:3" ht="12.75">
      <c r="B10" s="4" t="s">
        <v>3</v>
      </c>
      <c r="C10" s="51" t="s">
        <v>37</v>
      </c>
    </row>
    <row r="11" spans="2:3" ht="12.75">
      <c r="B11" s="4" t="s">
        <v>4</v>
      </c>
      <c r="C11" s="51" t="s">
        <v>38</v>
      </c>
    </row>
    <row r="12" spans="2:3" ht="12.75">
      <c r="B12" s="4" t="s">
        <v>5</v>
      </c>
      <c r="C12" s="51" t="s">
        <v>37</v>
      </c>
    </row>
    <row r="13" spans="2:3" ht="12.75">
      <c r="B13" s="4" t="s">
        <v>6</v>
      </c>
      <c r="C13" s="51" t="s">
        <v>38</v>
      </c>
    </row>
    <row r="14" spans="2:3" ht="12.75">
      <c r="B14" s="4" t="s">
        <v>7</v>
      </c>
      <c r="C14" s="51" t="s">
        <v>38</v>
      </c>
    </row>
    <row r="15" spans="2:3" ht="12.75">
      <c r="B15" s="4" t="s">
        <v>8</v>
      </c>
      <c r="C15" s="51" t="s">
        <v>38</v>
      </c>
    </row>
  </sheetData>
  <sheetProtection/>
  <mergeCells count="1">
    <mergeCell ref="B2:C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6"/>
  <sheetViews>
    <sheetView zoomScalePageLayoutView="0" workbookViewId="0" topLeftCell="C1">
      <selection activeCell="E20" sqref="E20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23.00390625" style="0" customWidth="1"/>
    <col min="5" max="5" width="22.8515625" style="0" customWidth="1"/>
  </cols>
  <sheetData>
    <row r="2" spans="2:5" ht="52.5" customHeight="1">
      <c r="B2" s="85" t="s">
        <v>58</v>
      </c>
      <c r="C2" s="86"/>
      <c r="D2" s="86"/>
      <c r="E2" s="86"/>
    </row>
    <row r="3" ht="13.5" thickBot="1"/>
    <row r="4" spans="2:5" ht="13.5" thickBot="1">
      <c r="B4" s="2" t="s">
        <v>9</v>
      </c>
      <c r="C4" s="83" t="s">
        <v>11</v>
      </c>
      <c r="D4" s="83"/>
      <c r="E4" s="84"/>
    </row>
    <row r="6" spans="2:5" ht="95.25" customHeight="1">
      <c r="B6" s="3" t="s">
        <v>10</v>
      </c>
      <c r="C6" s="62" t="s">
        <v>59</v>
      </c>
      <c r="D6" s="62" t="s">
        <v>60</v>
      </c>
      <c r="E6" s="62" t="s">
        <v>61</v>
      </c>
    </row>
    <row r="7" spans="2:5" ht="12.75">
      <c r="B7" s="4" t="s">
        <v>0</v>
      </c>
      <c r="C7" s="20">
        <v>0</v>
      </c>
      <c r="D7" s="22">
        <v>2326</v>
      </c>
      <c r="E7" s="20">
        <v>0</v>
      </c>
    </row>
    <row r="8" spans="2:5" ht="12.75">
      <c r="B8" s="4" t="s">
        <v>1</v>
      </c>
      <c r="C8" s="20">
        <v>0</v>
      </c>
      <c r="D8" s="20">
        <v>603.3</v>
      </c>
      <c r="E8" s="20">
        <v>0</v>
      </c>
    </row>
    <row r="9" spans="2:5" ht="12.75">
      <c r="B9" s="4" t="s">
        <v>2</v>
      </c>
      <c r="C9" s="20">
        <v>675</v>
      </c>
      <c r="D9" s="20">
        <v>112.4</v>
      </c>
      <c r="E9" s="20">
        <v>750</v>
      </c>
    </row>
    <row r="10" spans="2:5" ht="12.75">
      <c r="B10" s="4" t="s">
        <v>3</v>
      </c>
      <c r="C10" s="20">
        <v>0</v>
      </c>
      <c r="D10" s="20">
        <v>0</v>
      </c>
      <c r="E10" s="20">
        <v>432</v>
      </c>
    </row>
    <row r="11" spans="2:5" ht="12.75">
      <c r="B11" s="4" t="s">
        <v>4</v>
      </c>
      <c r="C11" s="20">
        <v>0</v>
      </c>
      <c r="D11" s="20">
        <v>48.7</v>
      </c>
      <c r="E11" s="20">
        <v>0</v>
      </c>
    </row>
    <row r="12" spans="2:5" ht="12.75">
      <c r="B12" s="4" t="s">
        <v>5</v>
      </c>
      <c r="C12" s="20">
        <v>0</v>
      </c>
      <c r="D12" s="20">
        <v>0</v>
      </c>
      <c r="E12" s="20">
        <v>144</v>
      </c>
    </row>
    <row r="13" spans="2:5" ht="12.75">
      <c r="B13" s="4" t="s">
        <v>6</v>
      </c>
      <c r="C13" s="20">
        <v>0</v>
      </c>
      <c r="D13" s="20">
        <v>352.2</v>
      </c>
      <c r="E13" s="20">
        <v>0</v>
      </c>
    </row>
    <row r="14" spans="2:5" ht="12.75">
      <c r="B14" s="4" t="s">
        <v>7</v>
      </c>
      <c r="C14" s="20">
        <v>200</v>
      </c>
      <c r="D14" s="20">
        <v>567.1</v>
      </c>
      <c r="E14" s="20">
        <v>84</v>
      </c>
    </row>
    <row r="15" spans="2:5" ht="12.75">
      <c r="B15" s="4" t="s">
        <v>8</v>
      </c>
      <c r="C15" s="20">
        <v>0</v>
      </c>
      <c r="D15" s="20">
        <v>916</v>
      </c>
      <c r="E15" s="20">
        <v>0</v>
      </c>
    </row>
    <row r="16" ht="12.75">
      <c r="B16" s="15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7"/>
  <sheetViews>
    <sheetView zoomScalePageLayoutView="0" workbookViewId="0" topLeftCell="C4">
      <selection activeCell="F4" sqref="F1:M16384"/>
    </sheetView>
  </sheetViews>
  <sheetFormatPr defaultColWidth="9.140625" defaultRowHeight="12.75"/>
  <cols>
    <col min="2" max="2" width="20.140625" style="0" bestFit="1" customWidth="1"/>
    <col min="3" max="3" width="17.140625" style="0" customWidth="1"/>
    <col min="4" max="4" width="18.421875" style="0" customWidth="1"/>
    <col min="5" max="5" width="21.28125" style="0" customWidth="1"/>
  </cols>
  <sheetData>
    <row r="2" spans="2:5" ht="52.5" customHeight="1">
      <c r="B2" s="85" t="s">
        <v>62</v>
      </c>
      <c r="C2" s="86"/>
      <c r="D2" s="86"/>
      <c r="E2" s="86"/>
    </row>
    <row r="3" ht="13.5" thickBot="1"/>
    <row r="4" spans="2:5" ht="13.5" thickBot="1">
      <c r="B4" s="2" t="s">
        <v>9</v>
      </c>
      <c r="C4" s="83" t="s">
        <v>12</v>
      </c>
      <c r="D4" s="83"/>
      <c r="E4" s="84"/>
    </row>
    <row r="6" spans="2:5" ht="132.75" customHeight="1">
      <c r="B6" s="3" t="s">
        <v>10</v>
      </c>
      <c r="C6" s="57" t="s">
        <v>63</v>
      </c>
      <c r="D6" s="57" t="s">
        <v>64</v>
      </c>
      <c r="E6" s="57" t="s">
        <v>65</v>
      </c>
    </row>
    <row r="7" spans="2:5" ht="12.75">
      <c r="B7" s="4" t="s">
        <v>0</v>
      </c>
      <c r="C7" s="66">
        <v>0</v>
      </c>
      <c r="D7" s="7">
        <v>392240.9</v>
      </c>
      <c r="E7" s="24">
        <v>12.4</v>
      </c>
    </row>
    <row r="8" spans="2:5" ht="12.75">
      <c r="B8" s="4" t="s">
        <v>1</v>
      </c>
      <c r="C8" s="66">
        <v>0</v>
      </c>
      <c r="D8" s="7">
        <v>20768.5</v>
      </c>
      <c r="E8" s="24">
        <v>249.1</v>
      </c>
    </row>
    <row r="9" spans="2:5" ht="12.75">
      <c r="B9" s="4" t="s">
        <v>2</v>
      </c>
      <c r="C9" s="66">
        <v>1.008</v>
      </c>
      <c r="D9" s="7">
        <v>12021.3</v>
      </c>
      <c r="E9" s="24">
        <v>249.1</v>
      </c>
    </row>
    <row r="10" spans="2:5" ht="12.75">
      <c r="B10" s="4" t="s">
        <v>3</v>
      </c>
      <c r="C10" s="66">
        <v>0.379</v>
      </c>
      <c r="D10" s="7">
        <v>56644.8</v>
      </c>
      <c r="E10" s="24">
        <v>249.1</v>
      </c>
    </row>
    <row r="11" spans="2:5" ht="12.75">
      <c r="B11" s="4" t="s">
        <v>4</v>
      </c>
      <c r="C11" s="66">
        <v>0</v>
      </c>
      <c r="D11" s="7">
        <v>11718.6</v>
      </c>
      <c r="E11" s="24">
        <v>249.1</v>
      </c>
    </row>
    <row r="12" spans="2:5" ht="12.75">
      <c r="B12" s="4" t="s">
        <v>5</v>
      </c>
      <c r="C12" s="66">
        <v>0.342</v>
      </c>
      <c r="D12" s="7">
        <v>40119.7</v>
      </c>
      <c r="E12" s="24">
        <v>249.1</v>
      </c>
    </row>
    <row r="13" spans="2:5" ht="12.75">
      <c r="B13" s="4" t="s">
        <v>6</v>
      </c>
      <c r="C13" s="66">
        <v>0</v>
      </c>
      <c r="D13" s="7">
        <v>14574.4</v>
      </c>
      <c r="E13" s="24">
        <v>249.1</v>
      </c>
    </row>
    <row r="14" spans="2:5" ht="12.75">
      <c r="B14" s="4" t="s">
        <v>7</v>
      </c>
      <c r="C14" s="66">
        <v>0.321</v>
      </c>
      <c r="D14" s="7">
        <v>15989.4</v>
      </c>
      <c r="E14" s="24">
        <v>249.1</v>
      </c>
    </row>
    <row r="15" spans="2:5" ht="12.75">
      <c r="B15" s="4" t="s">
        <v>8</v>
      </c>
      <c r="C15" s="66">
        <v>0</v>
      </c>
      <c r="D15" s="7">
        <v>23686.9</v>
      </c>
      <c r="E15" s="24">
        <v>249.1</v>
      </c>
    </row>
    <row r="16" spans="3:5" ht="12.75">
      <c r="C16" s="72"/>
      <c r="D16" s="72"/>
      <c r="E16" s="21"/>
    </row>
    <row r="17" ht="12.75">
      <c r="B17" s="15"/>
    </row>
  </sheetData>
  <sheetProtection/>
  <mergeCells count="2">
    <mergeCell ref="C4:E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8"/>
  <sheetViews>
    <sheetView zoomScalePageLayoutView="0" workbookViewId="0" topLeftCell="C10">
      <selection activeCell="C40" sqref="C40"/>
    </sheetView>
  </sheetViews>
  <sheetFormatPr defaultColWidth="9.140625" defaultRowHeight="12.75"/>
  <cols>
    <col min="2" max="2" width="20.140625" style="0" bestFit="1" customWidth="1"/>
    <col min="3" max="3" width="53.28125" style="0" customWidth="1"/>
    <col min="4" max="4" width="20.421875" style="0" customWidth="1"/>
  </cols>
  <sheetData>
    <row r="2" spans="2:4" ht="40.5" customHeight="1">
      <c r="B2" s="85" t="s">
        <v>66</v>
      </c>
      <c r="C2" s="86"/>
      <c r="D2" s="86"/>
    </row>
    <row r="3" ht="13.5" thickBot="1"/>
    <row r="4" spans="2:4" ht="13.5" thickBot="1">
      <c r="B4" s="2" t="s">
        <v>9</v>
      </c>
      <c r="C4" s="83" t="s">
        <v>13</v>
      </c>
      <c r="D4" s="83"/>
    </row>
    <row r="6" spans="2:4" ht="287.25" customHeight="1">
      <c r="B6" s="3" t="s">
        <v>10</v>
      </c>
      <c r="C6" s="3" t="s">
        <v>67</v>
      </c>
      <c r="D6" s="3" t="s">
        <v>14</v>
      </c>
    </row>
    <row r="7" spans="2:4" ht="12.75">
      <c r="B7" s="4" t="s">
        <v>0</v>
      </c>
      <c r="C7" s="22">
        <v>18853</v>
      </c>
      <c r="D7" s="22">
        <v>18853</v>
      </c>
    </row>
    <row r="8" spans="2:4" ht="12.75">
      <c r="B8" s="4" t="s">
        <v>1</v>
      </c>
      <c r="C8" s="22">
        <v>3370.7</v>
      </c>
      <c r="D8" s="22">
        <v>4681</v>
      </c>
    </row>
    <row r="9" spans="2:4" ht="12.75">
      <c r="B9" s="4" t="s">
        <v>2</v>
      </c>
      <c r="C9" s="22">
        <v>3586.7</v>
      </c>
      <c r="D9" s="22">
        <v>3942</v>
      </c>
    </row>
    <row r="10" spans="2:4" ht="12.75">
      <c r="B10" s="4" t="s">
        <v>3</v>
      </c>
      <c r="C10" s="22">
        <v>5660.1</v>
      </c>
      <c r="D10" s="22">
        <v>5667</v>
      </c>
    </row>
    <row r="11" spans="2:4" ht="12.75">
      <c r="B11" s="4" t="s">
        <v>4</v>
      </c>
      <c r="C11" s="22">
        <v>3033.5</v>
      </c>
      <c r="D11" s="22">
        <v>3696</v>
      </c>
    </row>
    <row r="12" spans="2:4" ht="12.75">
      <c r="B12" s="4" t="s">
        <v>5</v>
      </c>
      <c r="C12" s="22">
        <v>5509.8</v>
      </c>
      <c r="D12" s="22">
        <v>5667</v>
      </c>
    </row>
    <row r="13" spans="2:4" ht="12.75">
      <c r="B13" s="4" t="s">
        <v>6</v>
      </c>
      <c r="C13" s="22">
        <v>3473.6</v>
      </c>
      <c r="D13" s="22">
        <v>3942</v>
      </c>
    </row>
    <row r="14" spans="2:4" ht="12.75">
      <c r="B14" s="4" t="s">
        <v>7</v>
      </c>
      <c r="C14" s="22">
        <v>3559.4</v>
      </c>
      <c r="D14" s="22">
        <v>3942</v>
      </c>
    </row>
    <row r="15" spans="2:4" ht="12.75">
      <c r="B15" s="4" t="s">
        <v>8</v>
      </c>
      <c r="C15" s="20">
        <v>3757.5</v>
      </c>
      <c r="D15" s="20">
        <v>4189</v>
      </c>
    </row>
    <row r="16" ht="12.75">
      <c r="C16" s="21"/>
    </row>
    <row r="17" ht="12.75">
      <c r="B17" s="15"/>
    </row>
    <row r="18" ht="12.75">
      <c r="C18" s="25"/>
    </row>
  </sheetData>
  <sheetProtection/>
  <mergeCells count="2">
    <mergeCell ref="C4:D4"/>
    <mergeCell ref="B2:D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27"/>
  <sheetViews>
    <sheetView zoomScalePageLayoutView="0" workbookViewId="0" topLeftCell="G1">
      <selection activeCell="J30" sqref="J30"/>
    </sheetView>
  </sheetViews>
  <sheetFormatPr defaultColWidth="9.140625" defaultRowHeight="12.75"/>
  <cols>
    <col min="2" max="2" width="20.140625" style="0" bestFit="1" customWidth="1"/>
    <col min="3" max="8" width="26.421875" style="0" customWidth="1"/>
  </cols>
  <sheetData>
    <row r="2" spans="2:8" ht="40.5" customHeight="1">
      <c r="B2" s="85" t="s">
        <v>44</v>
      </c>
      <c r="C2" s="86"/>
      <c r="D2" s="86"/>
      <c r="E2" s="86"/>
      <c r="F2" s="86"/>
      <c r="G2" s="86"/>
      <c r="H2" s="86"/>
    </row>
    <row r="3" spans="4:8" ht="13.5" thickBot="1">
      <c r="D3" s="15"/>
      <c r="E3" s="15"/>
      <c r="F3" s="15"/>
      <c r="G3" s="15"/>
      <c r="H3" s="15"/>
    </row>
    <row r="4" spans="2:8" ht="13.5" thickBot="1">
      <c r="B4" s="2" t="s">
        <v>9</v>
      </c>
      <c r="C4" s="5" t="s">
        <v>68</v>
      </c>
      <c r="D4" s="6"/>
      <c r="E4" s="6"/>
      <c r="F4" s="6"/>
      <c r="G4" s="6"/>
      <c r="H4" s="6"/>
    </row>
    <row r="5" spans="4:8" ht="12.75">
      <c r="D5" s="15"/>
      <c r="E5" s="15"/>
      <c r="F5" s="15"/>
      <c r="G5" s="15"/>
      <c r="H5" s="15"/>
    </row>
    <row r="6" spans="2:8" ht="99" customHeight="1">
      <c r="B6" s="3" t="s">
        <v>10</v>
      </c>
      <c r="C6" s="26" t="s">
        <v>69</v>
      </c>
      <c r="D6" s="26" t="s">
        <v>70</v>
      </c>
      <c r="E6" s="26" t="s">
        <v>71</v>
      </c>
      <c r="F6" s="26" t="s">
        <v>49</v>
      </c>
      <c r="G6" s="26" t="s">
        <v>50</v>
      </c>
      <c r="H6" s="26" t="s">
        <v>51</v>
      </c>
    </row>
    <row r="7" spans="2:8" ht="12.75">
      <c r="B7" s="4" t="s">
        <v>0</v>
      </c>
      <c r="C7" s="22">
        <v>2326</v>
      </c>
      <c r="D7" s="22">
        <v>0</v>
      </c>
      <c r="E7" s="22">
        <v>2326</v>
      </c>
      <c r="F7" s="31">
        <v>379523.3</v>
      </c>
      <c r="G7" s="31">
        <v>258643.1</v>
      </c>
      <c r="H7" s="31">
        <v>0</v>
      </c>
    </row>
    <row r="8" spans="2:8" ht="12.75">
      <c r="B8" s="4" t="s">
        <v>1</v>
      </c>
      <c r="C8" s="20">
        <v>603.3</v>
      </c>
      <c r="D8" s="20">
        <v>0</v>
      </c>
      <c r="E8" s="20">
        <v>603.3</v>
      </c>
      <c r="F8" s="7">
        <v>19697.1</v>
      </c>
      <c r="G8" s="7">
        <v>11596.7</v>
      </c>
      <c r="H8" s="7">
        <v>0</v>
      </c>
    </row>
    <row r="9" spans="2:8" ht="12.75">
      <c r="B9" s="4" t="s">
        <v>2</v>
      </c>
      <c r="C9" s="20">
        <v>112.4</v>
      </c>
      <c r="D9" s="20">
        <v>0</v>
      </c>
      <c r="E9" s="20">
        <v>187.4</v>
      </c>
      <c r="F9" s="7">
        <v>11751.5</v>
      </c>
      <c r="G9" s="7">
        <v>4575.3</v>
      </c>
      <c r="H9" s="7">
        <v>0</v>
      </c>
    </row>
    <row r="10" spans="2:8" ht="12.75">
      <c r="B10" s="4" t="s">
        <v>3</v>
      </c>
      <c r="C10" s="20">
        <v>0</v>
      </c>
      <c r="D10" s="20">
        <v>0</v>
      </c>
      <c r="E10" s="20">
        <v>0</v>
      </c>
      <c r="F10" s="7">
        <v>60960.9</v>
      </c>
      <c r="G10" s="7">
        <v>34157.5</v>
      </c>
      <c r="H10" s="7">
        <v>0</v>
      </c>
    </row>
    <row r="11" spans="2:8" ht="12.75">
      <c r="B11" s="4" t="s">
        <v>4</v>
      </c>
      <c r="C11" s="20">
        <v>48.7</v>
      </c>
      <c r="D11" s="20">
        <v>0</v>
      </c>
      <c r="E11" s="20">
        <v>48.7</v>
      </c>
      <c r="F11" s="7">
        <v>11327</v>
      </c>
      <c r="G11" s="7">
        <v>5771</v>
      </c>
      <c r="H11" s="7">
        <v>0</v>
      </c>
    </row>
    <row r="12" spans="2:8" ht="12.75">
      <c r="B12" s="4" t="s">
        <v>5</v>
      </c>
      <c r="C12" s="20">
        <v>0</v>
      </c>
      <c r="D12" s="20">
        <v>0</v>
      </c>
      <c r="E12" s="20">
        <v>142</v>
      </c>
      <c r="F12" s="7">
        <v>38878.8</v>
      </c>
      <c r="G12" s="7">
        <v>18677.5</v>
      </c>
      <c r="H12" s="7">
        <v>0</v>
      </c>
    </row>
    <row r="13" spans="2:8" ht="12.75">
      <c r="B13" s="4" t="s">
        <v>6</v>
      </c>
      <c r="C13" s="20">
        <v>352.2</v>
      </c>
      <c r="D13" s="20">
        <v>0</v>
      </c>
      <c r="E13" s="20">
        <v>352.2</v>
      </c>
      <c r="F13" s="7">
        <v>14255</v>
      </c>
      <c r="G13" s="7">
        <v>5229.7</v>
      </c>
      <c r="H13" s="7">
        <v>0</v>
      </c>
    </row>
    <row r="14" spans="2:8" ht="12.75">
      <c r="B14" s="4" t="s">
        <v>7</v>
      </c>
      <c r="C14" s="20">
        <v>567.1</v>
      </c>
      <c r="D14" s="20">
        <v>0</v>
      </c>
      <c r="E14" s="20">
        <v>451.1</v>
      </c>
      <c r="F14" s="7">
        <v>15366.9</v>
      </c>
      <c r="G14" s="7">
        <v>7755.9</v>
      </c>
      <c r="H14" s="7">
        <v>0</v>
      </c>
    </row>
    <row r="15" spans="2:8" ht="12.75">
      <c r="B15" s="4" t="s">
        <v>8</v>
      </c>
      <c r="C15" s="20">
        <v>916</v>
      </c>
      <c r="D15" s="20">
        <v>0</v>
      </c>
      <c r="E15" s="20">
        <v>916</v>
      </c>
      <c r="F15" s="7">
        <v>22473.4</v>
      </c>
      <c r="G15" s="7">
        <v>12532</v>
      </c>
      <c r="H15" s="7">
        <v>0</v>
      </c>
    </row>
    <row r="17" spans="2:8" ht="25.5" hidden="1">
      <c r="B17" s="3" t="s">
        <v>10</v>
      </c>
      <c r="C17" s="11">
        <v>202</v>
      </c>
      <c r="D17" s="11"/>
      <c r="E17" s="11"/>
      <c r="F17" s="11"/>
      <c r="G17" s="11"/>
      <c r="H17" s="11"/>
    </row>
    <row r="18" spans="2:8" ht="12.75" hidden="1">
      <c r="B18" s="4" t="s">
        <v>0</v>
      </c>
      <c r="C18" s="7">
        <v>189157.8</v>
      </c>
      <c r="D18" s="7"/>
      <c r="E18" s="7"/>
      <c r="F18" s="7"/>
      <c r="G18" s="7"/>
      <c r="H18" s="7"/>
    </row>
    <row r="19" spans="2:8" ht="12.75" hidden="1">
      <c r="B19" s="4" t="s">
        <v>1</v>
      </c>
      <c r="C19" s="7">
        <v>2691.4</v>
      </c>
      <c r="D19" s="7"/>
      <c r="E19" s="7"/>
      <c r="F19" s="7"/>
      <c r="G19" s="7"/>
      <c r="H19" s="7"/>
    </row>
    <row r="20" spans="2:8" ht="12.75" hidden="1">
      <c r="B20" s="4" t="s">
        <v>2</v>
      </c>
      <c r="C20" s="7">
        <v>1665.5</v>
      </c>
      <c r="D20" s="7"/>
      <c r="E20" s="7"/>
      <c r="F20" s="7"/>
      <c r="G20" s="7"/>
      <c r="H20" s="7"/>
    </row>
    <row r="21" spans="2:8" ht="12.75" hidden="1">
      <c r="B21" s="4" t="s">
        <v>3</v>
      </c>
      <c r="C21" s="7">
        <v>4680.6</v>
      </c>
      <c r="D21" s="7"/>
      <c r="E21" s="7"/>
      <c r="F21" s="7"/>
      <c r="G21" s="7"/>
      <c r="H21" s="7"/>
    </row>
    <row r="22" spans="2:8" ht="12.75" hidden="1">
      <c r="B22" s="4" t="s">
        <v>4</v>
      </c>
      <c r="C22" s="7">
        <v>2302.8</v>
      </c>
      <c r="D22" s="7"/>
      <c r="E22" s="7"/>
      <c r="F22" s="7"/>
      <c r="G22" s="7"/>
      <c r="H22" s="7"/>
    </row>
    <row r="23" spans="2:8" ht="12.75" hidden="1">
      <c r="B23" s="4" t="s">
        <v>5</v>
      </c>
      <c r="C23" s="7">
        <v>2604.6</v>
      </c>
      <c r="D23" s="7"/>
      <c r="E23" s="7"/>
      <c r="F23" s="7"/>
      <c r="G23" s="7"/>
      <c r="H23" s="7"/>
    </row>
    <row r="24" spans="2:8" ht="12.75" hidden="1">
      <c r="B24" s="4" t="s">
        <v>6</v>
      </c>
      <c r="C24" s="7">
        <v>940.6</v>
      </c>
      <c r="D24" s="7"/>
      <c r="E24" s="7"/>
      <c r="F24" s="7"/>
      <c r="G24" s="7"/>
      <c r="H24" s="7"/>
    </row>
    <row r="25" spans="2:8" ht="12.75" hidden="1">
      <c r="B25" s="4" t="s">
        <v>7</v>
      </c>
      <c r="C25" s="7">
        <v>946.1</v>
      </c>
      <c r="D25" s="7"/>
      <c r="E25" s="7"/>
      <c r="F25" s="7"/>
      <c r="G25" s="7"/>
      <c r="H25" s="7"/>
    </row>
    <row r="26" spans="2:8" ht="12.75" hidden="1">
      <c r="B26" s="4" t="s">
        <v>8</v>
      </c>
      <c r="C26" s="7">
        <v>4934.3</v>
      </c>
      <c r="D26" s="7"/>
      <c r="E26" s="7"/>
      <c r="F26" s="7"/>
      <c r="G26" s="7"/>
      <c r="H26" s="7"/>
    </row>
    <row r="27" spans="3:8" ht="12.75" hidden="1">
      <c r="C27" s="8">
        <f>SUM(C18:C26)</f>
        <v>209923.69999999998</v>
      </c>
      <c r="D27" s="8"/>
      <c r="E27" s="8"/>
      <c r="F27" s="8"/>
      <c r="G27" s="8"/>
      <c r="H27" s="8"/>
    </row>
    <row r="28" ht="12.75" hidden="1"/>
  </sheetData>
  <sheetProtection/>
  <mergeCells count="1">
    <mergeCell ref="B2:H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zoomScalePageLayoutView="0" workbookViewId="0" topLeftCell="C1">
      <selection activeCell="D48" sqref="D48"/>
    </sheetView>
  </sheetViews>
  <sheetFormatPr defaultColWidth="9.140625" defaultRowHeight="12.75"/>
  <cols>
    <col min="2" max="2" width="20.140625" style="0" bestFit="1" customWidth="1"/>
    <col min="3" max="3" width="33.7109375" style="0" customWidth="1"/>
    <col min="4" max="4" width="33.421875" style="0" customWidth="1"/>
    <col min="5" max="5" width="26.421875" style="0" customWidth="1"/>
    <col min="6" max="6" width="13.57421875" style="0" customWidth="1"/>
    <col min="7" max="7" width="13.8515625" style="0" customWidth="1"/>
    <col min="8" max="8" width="10.57421875" style="0" customWidth="1"/>
    <col min="9" max="9" width="10.28125" style="0" customWidth="1"/>
  </cols>
  <sheetData>
    <row r="2" spans="2:9" ht="30.75" customHeight="1">
      <c r="B2" s="85" t="s">
        <v>31</v>
      </c>
      <c r="C2" s="86"/>
      <c r="D2" s="86"/>
      <c r="E2" s="86"/>
      <c r="F2" s="86"/>
      <c r="G2" s="86"/>
      <c r="H2" s="86"/>
      <c r="I2" s="88"/>
    </row>
    <row r="3" spans="4:6" ht="13.5" thickBot="1">
      <c r="D3" s="15"/>
      <c r="E3" s="15"/>
      <c r="F3" s="15"/>
    </row>
    <row r="4" spans="2:6" ht="13.5" thickBot="1">
      <c r="B4" s="2" t="s">
        <v>9</v>
      </c>
      <c r="C4" s="5" t="s">
        <v>72</v>
      </c>
      <c r="D4" s="6"/>
      <c r="E4" s="6"/>
      <c r="F4" s="15"/>
    </row>
    <row r="5" spans="4:6" ht="12.75">
      <c r="D5" s="15"/>
      <c r="E5" s="15"/>
      <c r="F5" s="15"/>
    </row>
    <row r="6" spans="2:10" ht="25.5" hidden="1">
      <c r="B6" s="3" t="s">
        <v>10</v>
      </c>
      <c r="C6" s="11">
        <v>202</v>
      </c>
      <c r="D6" s="11"/>
      <c r="E6" s="11"/>
      <c r="F6" s="12" t="s">
        <v>28</v>
      </c>
      <c r="G6" s="11">
        <v>202</v>
      </c>
      <c r="H6" s="11" t="s">
        <v>27</v>
      </c>
      <c r="I6" s="12">
        <v>20203</v>
      </c>
      <c r="J6" s="12" t="s">
        <v>29</v>
      </c>
    </row>
    <row r="7" spans="2:10" ht="12.75" hidden="1">
      <c r="B7" s="4" t="s">
        <v>0</v>
      </c>
      <c r="C7" s="7">
        <v>189157.8</v>
      </c>
      <c r="D7" s="7"/>
      <c r="E7" s="7"/>
      <c r="F7" s="7" t="e">
        <f>(C7-#REF!)/(#REF!-#REF!)</f>
        <v>#REF!</v>
      </c>
      <c r="G7" s="7">
        <v>92887.6</v>
      </c>
      <c r="H7" s="7">
        <v>165636.7</v>
      </c>
      <c r="I7" s="7">
        <v>11.6</v>
      </c>
      <c r="J7" s="7">
        <f>(G7-I7)/(H7-I7)</f>
        <v>0.5607604161446544</v>
      </c>
    </row>
    <row r="8" spans="2:10" ht="12.75" hidden="1">
      <c r="B8" s="4" t="s">
        <v>1</v>
      </c>
      <c r="C8" s="7">
        <v>2691.4</v>
      </c>
      <c r="D8" s="7"/>
      <c r="E8" s="7"/>
      <c r="F8" s="7" t="e">
        <f>(C8-#REF!)/(#REF!-#REF!)</f>
        <v>#REF!</v>
      </c>
      <c r="G8" s="7">
        <v>1285.1</v>
      </c>
      <c r="H8" s="7">
        <v>6499.3</v>
      </c>
      <c r="I8" s="7">
        <v>124.3</v>
      </c>
      <c r="J8" s="7">
        <f aca="true" t="shared" si="0" ref="J8:J15">(G8-I8)/(H8-I8)</f>
        <v>0.1820862745098039</v>
      </c>
    </row>
    <row r="9" spans="2:10" ht="12.75" hidden="1">
      <c r="B9" s="4" t="s">
        <v>2</v>
      </c>
      <c r="C9" s="7">
        <v>1665.5</v>
      </c>
      <c r="D9" s="7"/>
      <c r="E9" s="7"/>
      <c r="F9" s="7" t="e">
        <f>(C9-#REF!)/(#REF!-#REF!)</f>
        <v>#REF!</v>
      </c>
      <c r="G9" s="7">
        <v>378.8</v>
      </c>
      <c r="H9" s="7">
        <v>3710.3</v>
      </c>
      <c r="I9" s="7">
        <v>124.1</v>
      </c>
      <c r="J9" s="7">
        <f t="shared" si="0"/>
        <v>0.07102225196586917</v>
      </c>
    </row>
    <row r="10" spans="2:10" ht="12.75" hidden="1">
      <c r="B10" s="4" t="s">
        <v>3</v>
      </c>
      <c r="C10" s="7">
        <v>4680.6</v>
      </c>
      <c r="D10" s="7"/>
      <c r="E10" s="7"/>
      <c r="F10" s="7" t="e">
        <f>(C10-#REF!)/(#REF!-#REF!)</f>
        <v>#REF!</v>
      </c>
      <c r="G10" s="7">
        <v>19210.5</v>
      </c>
      <c r="H10" s="7">
        <v>28950</v>
      </c>
      <c r="I10" s="7">
        <v>298.9</v>
      </c>
      <c r="J10" s="7">
        <f t="shared" si="0"/>
        <v>0.6600654076108771</v>
      </c>
    </row>
    <row r="11" spans="2:10" ht="12.75" hidden="1">
      <c r="B11" s="4" t="s">
        <v>4</v>
      </c>
      <c r="C11" s="7">
        <v>2302.8</v>
      </c>
      <c r="D11" s="7"/>
      <c r="E11" s="7"/>
      <c r="F11" s="7" t="e">
        <f>(C11-#REF!)/(#REF!-#REF!)</f>
        <v>#REF!</v>
      </c>
      <c r="G11" s="7">
        <v>609.7</v>
      </c>
      <c r="H11" s="7">
        <v>3556.6</v>
      </c>
      <c r="I11" s="7">
        <v>125.7</v>
      </c>
      <c r="J11" s="7">
        <f t="shared" si="0"/>
        <v>0.14107085604360373</v>
      </c>
    </row>
    <row r="12" spans="2:10" ht="12.75" hidden="1">
      <c r="B12" s="4" t="s">
        <v>5</v>
      </c>
      <c r="C12" s="7">
        <v>2604.6</v>
      </c>
      <c r="D12" s="7"/>
      <c r="E12" s="7"/>
      <c r="F12" s="7" t="e">
        <f>(C12-#REF!)/(#REF!-#REF!)</f>
        <v>#REF!</v>
      </c>
      <c r="G12" s="7">
        <v>1710.1</v>
      </c>
      <c r="H12" s="7">
        <v>9775.9</v>
      </c>
      <c r="I12" s="7">
        <v>317.8</v>
      </c>
      <c r="J12" s="7">
        <f t="shared" si="0"/>
        <v>0.1472071557712437</v>
      </c>
    </row>
    <row r="13" spans="2:10" ht="12.75" hidden="1">
      <c r="B13" s="4" t="s">
        <v>6</v>
      </c>
      <c r="C13" s="7">
        <v>940.6</v>
      </c>
      <c r="D13" s="7"/>
      <c r="E13" s="7"/>
      <c r="F13" s="7" t="e">
        <f>(C13-#REF!)/(#REF!-#REF!)</f>
        <v>#REF!</v>
      </c>
      <c r="G13" s="7">
        <v>4253.9</v>
      </c>
      <c r="H13" s="7">
        <v>9126.9</v>
      </c>
      <c r="I13" s="7">
        <v>140.6</v>
      </c>
      <c r="J13" s="7">
        <f t="shared" si="0"/>
        <v>0.45773010026373473</v>
      </c>
    </row>
    <row r="14" spans="2:10" ht="12.75" hidden="1">
      <c r="B14" s="4" t="s">
        <v>7</v>
      </c>
      <c r="C14" s="7">
        <v>946.1</v>
      </c>
      <c r="D14" s="7"/>
      <c r="E14" s="7"/>
      <c r="F14" s="7" t="e">
        <f>(C14-#REF!)/(#REF!-#REF!)</f>
        <v>#REF!</v>
      </c>
      <c r="G14" s="7">
        <v>232.5</v>
      </c>
      <c r="H14" s="7">
        <v>4234.4</v>
      </c>
      <c r="I14" s="7">
        <v>145.3</v>
      </c>
      <c r="J14" s="7">
        <f t="shared" si="0"/>
        <v>0.021324985938226015</v>
      </c>
    </row>
    <row r="15" spans="2:10" ht="12.75" hidden="1">
      <c r="B15" s="4" t="s">
        <v>8</v>
      </c>
      <c r="C15" s="7">
        <v>4934.3</v>
      </c>
      <c r="D15" s="7"/>
      <c r="E15" s="7"/>
      <c r="F15" s="7" t="e">
        <f>(C15-#REF!)/(#REF!-#REF!)</f>
        <v>#REF!</v>
      </c>
      <c r="G15" s="7">
        <v>1682.8</v>
      </c>
      <c r="H15" s="7">
        <v>5453.6</v>
      </c>
      <c r="I15" s="7">
        <v>129.4</v>
      </c>
      <c r="J15" s="7">
        <f t="shared" si="0"/>
        <v>0.29176214266932116</v>
      </c>
    </row>
    <row r="16" spans="3:10" ht="12.75" hidden="1">
      <c r="C16" s="8">
        <f>SUM(C7:C15)</f>
        <v>209923.69999999998</v>
      </c>
      <c r="D16" s="8"/>
      <c r="E16" s="8"/>
      <c r="F16" s="8"/>
      <c r="G16" s="8">
        <f>SUM(G7:G15)</f>
        <v>122251.00000000001</v>
      </c>
      <c r="H16" s="8">
        <f>SUM(H7:H15)</f>
        <v>236943.69999999998</v>
      </c>
      <c r="I16" s="8">
        <f>SUM(I7:I15)</f>
        <v>1417.7</v>
      </c>
      <c r="J16" s="8"/>
    </row>
    <row r="17" ht="12.75" hidden="1"/>
    <row r="20" spans="2:7" ht="63.75">
      <c r="B20" s="63" t="s">
        <v>10</v>
      </c>
      <c r="C20" s="63" t="s">
        <v>115</v>
      </c>
      <c r="D20" s="63" t="s">
        <v>116</v>
      </c>
      <c r="E20" s="63" t="s">
        <v>117</v>
      </c>
      <c r="F20" s="63" t="s">
        <v>118</v>
      </c>
      <c r="G20" s="64" t="s">
        <v>28</v>
      </c>
    </row>
    <row r="21" spans="2:7" ht="12.75">
      <c r="B21" s="4" t="s">
        <v>0</v>
      </c>
      <c r="C21" s="22">
        <v>40828.9</v>
      </c>
      <c r="D21" s="1">
        <v>0</v>
      </c>
      <c r="E21" s="31">
        <v>379523.3</v>
      </c>
      <c r="F21" s="24">
        <v>12.4</v>
      </c>
      <c r="G21" s="9">
        <f>(C21+D21)/(E21-F21)</f>
        <v>0.10758294425799102</v>
      </c>
    </row>
    <row r="22" spans="2:7" ht="12.75">
      <c r="B22" s="4" t="s">
        <v>1</v>
      </c>
      <c r="C22" s="20">
        <v>3881.5</v>
      </c>
      <c r="D22" s="1">
        <v>220.2</v>
      </c>
      <c r="E22" s="7">
        <v>19697.1</v>
      </c>
      <c r="F22" s="24">
        <v>249.1</v>
      </c>
      <c r="G22" s="9">
        <f aca="true" t="shared" si="1" ref="G22:G29">(C22+D22)/(E22-F22)</f>
        <v>0.2109060057589469</v>
      </c>
    </row>
    <row r="23" spans="2:7" ht="12.75">
      <c r="B23" s="4" t="s">
        <v>2</v>
      </c>
      <c r="C23" s="20">
        <v>3597.7</v>
      </c>
      <c r="D23" s="1">
        <v>531.1</v>
      </c>
      <c r="E23" s="7">
        <v>11751.5</v>
      </c>
      <c r="F23" s="24">
        <v>249.1</v>
      </c>
      <c r="G23" s="9">
        <f t="shared" si="1"/>
        <v>0.35895117540687166</v>
      </c>
    </row>
    <row r="24" spans="2:7" ht="12.75">
      <c r="B24" s="4" t="s">
        <v>3</v>
      </c>
      <c r="C24" s="20">
        <v>587</v>
      </c>
      <c r="D24" s="1">
        <v>0</v>
      </c>
      <c r="E24" s="7">
        <v>60960.9</v>
      </c>
      <c r="F24" s="24">
        <v>249.1</v>
      </c>
      <c r="G24" s="9">
        <f t="shared" si="1"/>
        <v>0.009668631139251347</v>
      </c>
    </row>
    <row r="25" spans="2:7" ht="12.75">
      <c r="B25" s="4" t="s">
        <v>4</v>
      </c>
      <c r="C25" s="20">
        <v>2614.6</v>
      </c>
      <c r="D25" s="1">
        <v>0</v>
      </c>
      <c r="E25" s="7">
        <v>11327</v>
      </c>
      <c r="F25" s="24">
        <v>249.1</v>
      </c>
      <c r="G25" s="9">
        <f t="shared" si="1"/>
        <v>0.23601946217243341</v>
      </c>
    </row>
    <row r="26" spans="2:7" ht="12.75">
      <c r="B26" s="4" t="s">
        <v>5</v>
      </c>
      <c r="C26" s="20">
        <v>7321</v>
      </c>
      <c r="D26" s="1">
        <v>0</v>
      </c>
      <c r="E26" s="7">
        <v>38878.8</v>
      </c>
      <c r="F26" s="24">
        <v>249.1</v>
      </c>
      <c r="G26" s="9">
        <f t="shared" si="1"/>
        <v>0.18951739205844206</v>
      </c>
    </row>
    <row r="27" spans="2:7" ht="12.75">
      <c r="B27" s="4" t="s">
        <v>6</v>
      </c>
      <c r="C27" s="20">
        <v>1242.1</v>
      </c>
      <c r="D27" s="1">
        <v>468.9</v>
      </c>
      <c r="E27" s="7">
        <v>14255</v>
      </c>
      <c r="F27" s="24">
        <v>249.1</v>
      </c>
      <c r="G27" s="9">
        <f t="shared" si="1"/>
        <v>0.12216280281881207</v>
      </c>
    </row>
    <row r="28" spans="2:7" ht="12.75">
      <c r="B28" s="4" t="s">
        <v>7</v>
      </c>
      <c r="C28" s="20">
        <v>2676.7</v>
      </c>
      <c r="D28" s="1">
        <v>1279.8</v>
      </c>
      <c r="E28" s="7">
        <v>15366.9</v>
      </c>
      <c r="F28" s="24">
        <v>249.1</v>
      </c>
      <c r="G28" s="9">
        <f t="shared" si="1"/>
        <v>0.2617113601185358</v>
      </c>
    </row>
    <row r="29" spans="2:7" ht="12.75">
      <c r="B29" s="4" t="s">
        <v>8</v>
      </c>
      <c r="C29" s="20">
        <v>3629.2</v>
      </c>
      <c r="D29" s="1">
        <v>0</v>
      </c>
      <c r="E29" s="7">
        <v>22473.4</v>
      </c>
      <c r="F29" s="24">
        <v>249.1</v>
      </c>
      <c r="G29" s="9">
        <f t="shared" si="1"/>
        <v>0.1632987315685983</v>
      </c>
    </row>
    <row r="30" spans="2:7" ht="12.75">
      <c r="B30" s="16"/>
      <c r="C30" s="65"/>
      <c r="D30" s="19"/>
      <c r="E30" s="19"/>
      <c r="F30" s="19"/>
      <c r="G30" s="19"/>
    </row>
    <row r="32" spans="2:7" ht="63.75">
      <c r="B32" s="63" t="s">
        <v>10</v>
      </c>
      <c r="C32" s="63" t="s">
        <v>73</v>
      </c>
      <c r="D32" s="63" t="s">
        <v>74</v>
      </c>
      <c r="E32" s="63" t="s">
        <v>75</v>
      </c>
      <c r="F32" s="63" t="s">
        <v>76</v>
      </c>
      <c r="G32" s="64" t="s">
        <v>29</v>
      </c>
    </row>
    <row r="33" spans="2:7" ht="12.75">
      <c r="B33" s="4" t="s">
        <v>0</v>
      </c>
      <c r="C33" s="55">
        <v>37125.9</v>
      </c>
      <c r="D33" s="1">
        <v>0</v>
      </c>
      <c r="E33" s="73">
        <v>268319.8</v>
      </c>
      <c r="F33" s="74">
        <v>12.4</v>
      </c>
      <c r="G33" s="9">
        <f>(C33+D33)/(E33-F33)</f>
        <v>0.13837076428007578</v>
      </c>
    </row>
    <row r="34" spans="2:7" ht="12.75">
      <c r="B34" s="4" t="s">
        <v>1</v>
      </c>
      <c r="C34" s="20">
        <v>2258.2</v>
      </c>
      <c r="D34" s="1">
        <v>0</v>
      </c>
      <c r="E34" s="7">
        <v>20468.7</v>
      </c>
      <c r="F34" s="74">
        <v>246.8</v>
      </c>
      <c r="G34" s="9">
        <f aca="true" t="shared" si="2" ref="G34:G41">(C34+D34)/(E34-F34)</f>
        <v>0.11167101014246929</v>
      </c>
    </row>
    <row r="35" spans="2:7" ht="12.75">
      <c r="B35" s="4" t="s">
        <v>2</v>
      </c>
      <c r="C35" s="20">
        <v>3703</v>
      </c>
      <c r="D35" s="1">
        <v>0</v>
      </c>
      <c r="E35" s="7">
        <v>94997.6</v>
      </c>
      <c r="F35" s="74">
        <v>246.8</v>
      </c>
      <c r="G35" s="9">
        <f t="shared" si="2"/>
        <v>0.03908146421982717</v>
      </c>
    </row>
    <row r="36" spans="2:7" ht="12.75">
      <c r="B36" s="4" t="s">
        <v>3</v>
      </c>
      <c r="C36" s="20">
        <v>514.8</v>
      </c>
      <c r="D36" s="1">
        <v>0</v>
      </c>
      <c r="E36" s="7">
        <v>91094.8</v>
      </c>
      <c r="F36" s="74">
        <v>246.8</v>
      </c>
      <c r="G36" s="9">
        <f t="shared" si="2"/>
        <v>0.005666607960549489</v>
      </c>
    </row>
    <row r="37" spans="2:7" ht="12.75">
      <c r="B37" s="4" t="s">
        <v>4</v>
      </c>
      <c r="C37" s="20">
        <v>2608.6</v>
      </c>
      <c r="D37" s="1">
        <v>0</v>
      </c>
      <c r="E37" s="7">
        <v>11499.5</v>
      </c>
      <c r="F37" s="74">
        <v>246.8</v>
      </c>
      <c r="G37" s="9">
        <f t="shared" si="2"/>
        <v>0.2318199187750495</v>
      </c>
    </row>
    <row r="38" spans="2:7" ht="12.75">
      <c r="B38" s="4" t="s">
        <v>5</v>
      </c>
      <c r="C38" s="20">
        <v>7523.8</v>
      </c>
      <c r="D38" s="1">
        <v>0</v>
      </c>
      <c r="E38" s="7">
        <v>33878.1</v>
      </c>
      <c r="F38" s="74">
        <v>246.8</v>
      </c>
      <c r="G38" s="9">
        <f t="shared" si="2"/>
        <v>0.2237142185999352</v>
      </c>
    </row>
    <row r="39" spans="2:7" ht="12.75">
      <c r="B39" s="4" t="s">
        <v>6</v>
      </c>
      <c r="C39" s="20">
        <v>566.5</v>
      </c>
      <c r="D39" s="1">
        <v>0</v>
      </c>
      <c r="E39" s="7">
        <v>16536.7</v>
      </c>
      <c r="F39" s="74">
        <v>246.8</v>
      </c>
      <c r="G39" s="9">
        <f t="shared" si="2"/>
        <v>0.0347761496387332</v>
      </c>
    </row>
    <row r="40" spans="2:7" ht="12.75">
      <c r="B40" s="4" t="s">
        <v>7</v>
      </c>
      <c r="C40" s="20">
        <v>2726.4</v>
      </c>
      <c r="D40" s="1">
        <v>0</v>
      </c>
      <c r="E40" s="7">
        <v>14173.6</v>
      </c>
      <c r="F40" s="74">
        <v>246.8</v>
      </c>
      <c r="G40" s="9">
        <f t="shared" si="2"/>
        <v>0.1957664359364678</v>
      </c>
    </row>
    <row r="41" spans="2:7" ht="12.75">
      <c r="B41" s="4" t="s">
        <v>8</v>
      </c>
      <c r="C41" s="20">
        <v>3848.2</v>
      </c>
      <c r="D41" s="1">
        <v>0</v>
      </c>
      <c r="E41" s="7">
        <v>19913.2</v>
      </c>
      <c r="F41" s="74">
        <v>246.8</v>
      </c>
      <c r="G41" s="9">
        <f t="shared" si="2"/>
        <v>0.19567383964528332</v>
      </c>
    </row>
  </sheetData>
  <sheetProtection/>
  <mergeCells count="1">
    <mergeCell ref="B2:I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E18"/>
  <sheetViews>
    <sheetView zoomScalePageLayoutView="0" workbookViewId="0" topLeftCell="D1">
      <selection activeCell="G19" sqref="G19"/>
    </sheetView>
  </sheetViews>
  <sheetFormatPr defaultColWidth="9.140625" defaultRowHeight="12.75"/>
  <cols>
    <col min="2" max="2" width="20.140625" style="0" bestFit="1" customWidth="1"/>
    <col min="3" max="3" width="35.421875" style="0" customWidth="1"/>
    <col min="4" max="5" width="21.421875" style="0" customWidth="1"/>
  </cols>
  <sheetData>
    <row r="2" spans="2:5" ht="34.5" customHeight="1">
      <c r="B2" s="85" t="s">
        <v>77</v>
      </c>
      <c r="C2" s="86"/>
      <c r="D2" s="86"/>
      <c r="E2" s="86"/>
    </row>
    <row r="3" ht="13.5" thickBot="1"/>
    <row r="4" spans="2:5" ht="13.5" thickBot="1">
      <c r="B4" s="2" t="s">
        <v>9</v>
      </c>
      <c r="C4" s="83" t="s">
        <v>16</v>
      </c>
      <c r="D4" s="83"/>
      <c r="E4" s="6"/>
    </row>
    <row r="6" spans="2:5" ht="139.5" customHeight="1">
      <c r="B6" s="3" t="s">
        <v>10</v>
      </c>
      <c r="C6" s="57" t="s">
        <v>78</v>
      </c>
      <c r="D6" s="57" t="s">
        <v>79</v>
      </c>
      <c r="E6" s="57" t="s">
        <v>80</v>
      </c>
    </row>
    <row r="7" spans="2:5" ht="12.75">
      <c r="B7" s="4" t="s">
        <v>0</v>
      </c>
      <c r="C7" s="1">
        <v>0</v>
      </c>
      <c r="D7" s="7">
        <v>392240.9</v>
      </c>
      <c r="E7" s="24">
        <v>12.4</v>
      </c>
    </row>
    <row r="8" spans="2:5" ht="12.75">
      <c r="B8" s="4" t="s">
        <v>1</v>
      </c>
      <c r="C8" s="1">
        <v>0</v>
      </c>
      <c r="D8" s="7">
        <v>20768.5</v>
      </c>
      <c r="E8" s="24">
        <v>249.1</v>
      </c>
    </row>
    <row r="9" spans="2:5" ht="12.75">
      <c r="B9" s="4" t="s">
        <v>2</v>
      </c>
      <c r="C9" s="1">
        <v>0</v>
      </c>
      <c r="D9" s="7">
        <v>12021.3</v>
      </c>
      <c r="E9" s="24">
        <v>249.1</v>
      </c>
    </row>
    <row r="10" spans="2:5" ht="12.75">
      <c r="B10" s="4" t="s">
        <v>3</v>
      </c>
      <c r="C10" s="1">
        <v>0</v>
      </c>
      <c r="D10" s="7">
        <v>56644.8</v>
      </c>
      <c r="E10" s="24">
        <v>249.1</v>
      </c>
    </row>
    <row r="11" spans="2:5" ht="12.75">
      <c r="B11" s="4" t="s">
        <v>4</v>
      </c>
      <c r="C11" s="1">
        <v>0</v>
      </c>
      <c r="D11" s="7">
        <v>11718.6</v>
      </c>
      <c r="E11" s="24">
        <v>249.1</v>
      </c>
    </row>
    <row r="12" spans="2:5" ht="12.75">
      <c r="B12" s="4" t="s">
        <v>5</v>
      </c>
      <c r="C12" s="1">
        <v>0</v>
      </c>
      <c r="D12" s="7">
        <v>40119.7</v>
      </c>
      <c r="E12" s="24">
        <v>249.1</v>
      </c>
    </row>
    <row r="13" spans="2:5" ht="12.75">
      <c r="B13" s="4" t="s">
        <v>6</v>
      </c>
      <c r="C13" s="1">
        <v>0</v>
      </c>
      <c r="D13" s="7">
        <v>14574.4</v>
      </c>
      <c r="E13" s="24">
        <v>249.1</v>
      </c>
    </row>
    <row r="14" spans="2:5" ht="12.75">
      <c r="B14" s="4" t="s">
        <v>7</v>
      </c>
      <c r="C14" s="1">
        <v>0</v>
      </c>
      <c r="D14" s="7">
        <v>15989.4</v>
      </c>
      <c r="E14" s="24">
        <v>249.1</v>
      </c>
    </row>
    <row r="15" spans="2:5" ht="12.75">
      <c r="B15" s="4" t="s">
        <v>8</v>
      </c>
      <c r="C15" s="1">
        <v>0</v>
      </c>
      <c r="D15" s="7">
        <v>23686.9</v>
      </c>
      <c r="E15" s="24">
        <v>249.1</v>
      </c>
    </row>
    <row r="16" spans="4:5" ht="12.75">
      <c r="D16" s="21"/>
      <c r="E16" s="21"/>
    </row>
    <row r="18" ht="12.75">
      <c r="B18" s="15"/>
    </row>
  </sheetData>
  <sheetProtection/>
  <mergeCells count="2">
    <mergeCell ref="C4:D4"/>
    <mergeCell ref="B2:E2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16"/>
  <sheetViews>
    <sheetView zoomScalePageLayoutView="0" workbookViewId="0" topLeftCell="D1">
      <selection activeCell="H17" sqref="H17:H18"/>
    </sheetView>
  </sheetViews>
  <sheetFormatPr defaultColWidth="9.140625" defaultRowHeight="12.75"/>
  <cols>
    <col min="2" max="2" width="20.140625" style="0" bestFit="1" customWidth="1"/>
    <col min="3" max="4" width="25.7109375" style="0" customWidth="1"/>
    <col min="5" max="6" width="19.140625" style="0" customWidth="1"/>
  </cols>
  <sheetData>
    <row r="2" spans="2:6" ht="41.25" customHeight="1">
      <c r="B2" s="85" t="s">
        <v>81</v>
      </c>
      <c r="C2" s="86"/>
      <c r="D2" s="86"/>
      <c r="E2" s="86"/>
      <c r="F2" s="86"/>
    </row>
    <row r="3" ht="13.5" thickBot="1"/>
    <row r="4" spans="2:6" ht="13.5" thickBot="1">
      <c r="B4" s="2" t="s">
        <v>9</v>
      </c>
      <c r="C4" s="61" t="s">
        <v>82</v>
      </c>
      <c r="D4" s="69"/>
      <c r="E4" s="6"/>
      <c r="F4" s="6"/>
    </row>
    <row r="6" spans="2:6" ht="104.25" customHeight="1">
      <c r="B6" s="3" t="s">
        <v>10</v>
      </c>
      <c r="C6" s="57" t="s">
        <v>83</v>
      </c>
      <c r="D6" s="57" t="s">
        <v>84</v>
      </c>
      <c r="E6" s="57" t="s">
        <v>85</v>
      </c>
      <c r="F6" s="57" t="s">
        <v>86</v>
      </c>
    </row>
    <row r="7" spans="2:6" ht="12.75">
      <c r="B7" s="4" t="s">
        <v>0</v>
      </c>
      <c r="C7" s="31">
        <v>389914.9</v>
      </c>
      <c r="D7" s="31">
        <v>251165.3</v>
      </c>
      <c r="E7" s="7">
        <v>160713.7</v>
      </c>
      <c r="F7" s="7">
        <v>42696.5</v>
      </c>
    </row>
    <row r="8" spans="2:6" ht="12.75">
      <c r="B8" s="4" t="s">
        <v>1</v>
      </c>
      <c r="C8" s="7">
        <v>20165.3</v>
      </c>
      <c r="D8" s="7">
        <v>10569.1</v>
      </c>
      <c r="E8" s="7">
        <v>13530.1</v>
      </c>
      <c r="F8" s="7">
        <v>5775.7</v>
      </c>
    </row>
    <row r="9" spans="2:6" ht="12.75">
      <c r="B9" s="4" t="s">
        <v>2</v>
      </c>
      <c r="C9" s="7">
        <v>11908.9</v>
      </c>
      <c r="D9" s="7">
        <v>4575.8</v>
      </c>
      <c r="E9" s="7">
        <v>11501.6</v>
      </c>
      <c r="F9" s="7">
        <v>3817.1</v>
      </c>
    </row>
    <row r="10" spans="2:6" ht="12.75">
      <c r="B10" s="4" t="s">
        <v>3</v>
      </c>
      <c r="C10" s="7">
        <v>59061.3</v>
      </c>
      <c r="D10" s="7">
        <v>28681.6</v>
      </c>
      <c r="E10" s="7">
        <v>27257</v>
      </c>
      <c r="F10" s="7">
        <v>806.4</v>
      </c>
    </row>
    <row r="11" spans="2:6" ht="12.75">
      <c r="B11" s="4" t="s">
        <v>4</v>
      </c>
      <c r="C11" s="7">
        <v>11670</v>
      </c>
      <c r="D11" s="7">
        <v>5771.4</v>
      </c>
      <c r="E11" s="7">
        <v>11116.4</v>
      </c>
      <c r="F11" s="7">
        <v>5741.3</v>
      </c>
    </row>
    <row r="12" spans="2:6" ht="12.75">
      <c r="B12" s="4" t="s">
        <v>5</v>
      </c>
      <c r="C12" s="7">
        <v>40121.7</v>
      </c>
      <c r="D12" s="7">
        <v>18678</v>
      </c>
      <c r="E12" s="7">
        <v>35941.7</v>
      </c>
      <c r="F12" s="7">
        <v>17870.4</v>
      </c>
    </row>
    <row r="13" spans="2:6" ht="12.75">
      <c r="B13" s="4" t="s">
        <v>6</v>
      </c>
      <c r="C13" s="7">
        <v>14222.1</v>
      </c>
      <c r="D13" s="7">
        <v>5055.7</v>
      </c>
      <c r="E13" s="7">
        <v>14435.3</v>
      </c>
      <c r="F13" s="7">
        <v>4467.9</v>
      </c>
    </row>
    <row r="14" spans="2:6" ht="12.75">
      <c r="B14" s="4" t="s">
        <v>7</v>
      </c>
      <c r="C14" s="7">
        <v>15422.3</v>
      </c>
      <c r="D14" s="7">
        <v>7756.4</v>
      </c>
      <c r="E14" s="7">
        <v>14417.5</v>
      </c>
      <c r="F14" s="7">
        <v>6127.7</v>
      </c>
    </row>
    <row r="15" spans="2:6" ht="12.75">
      <c r="B15" s="4" t="s">
        <v>8</v>
      </c>
      <c r="C15" s="7">
        <v>22770.9</v>
      </c>
      <c r="D15" s="7">
        <v>12537.2</v>
      </c>
      <c r="E15" s="7">
        <v>19540.8</v>
      </c>
      <c r="F15" s="7">
        <v>8913.4</v>
      </c>
    </row>
    <row r="16" spans="3:6" ht="12.75">
      <c r="C16" s="21">
        <f>SUM(C7:C15)</f>
        <v>585257.4</v>
      </c>
      <c r="D16" s="21">
        <f>SUM(D7:D15)</f>
        <v>344790.50000000006</v>
      </c>
      <c r="E16" s="21"/>
      <c r="F16" s="21"/>
    </row>
  </sheetData>
  <sheetProtection/>
  <mergeCells count="1"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 Черкашина</cp:lastModifiedBy>
  <cp:lastPrinted>2022-07-18T13:45:23Z</cp:lastPrinted>
  <dcterms:created xsi:type="dcterms:W3CDTF">1996-10-08T23:32:33Z</dcterms:created>
  <dcterms:modified xsi:type="dcterms:W3CDTF">2022-07-28T13:17:57Z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